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6" windowWidth="15480" windowHeight="9360"/>
  </bookViews>
  <sheets>
    <sheet name="2016年" sheetId="9" r:id="rId1"/>
  </sheets>
  <definedNames>
    <definedName name="_xlnm._FilterDatabase" localSheetId="0" hidden="1">'2016年'!$A$4:$M$107</definedName>
  </definedNames>
  <calcPr calcId="145621" fullPrecision="0"/>
</workbook>
</file>

<file path=xl/calcChain.xml><?xml version="1.0" encoding="utf-8"?>
<calcChain xmlns="http://schemas.openxmlformats.org/spreadsheetml/2006/main">
  <c r="H106" i="9" l="1"/>
  <c r="J106" i="9"/>
  <c r="G106" i="9"/>
  <c r="H99" i="9"/>
  <c r="J99" i="9"/>
  <c r="G99" i="9"/>
  <c r="H93" i="9"/>
  <c r="J93" i="9"/>
  <c r="G93" i="9"/>
  <c r="H91" i="9"/>
  <c r="J91" i="9"/>
  <c r="G91" i="9"/>
  <c r="H86" i="9"/>
  <c r="J86" i="9"/>
  <c r="G86" i="9"/>
  <c r="H82" i="9"/>
  <c r="J82" i="9"/>
  <c r="G82" i="9"/>
  <c r="H64" i="9"/>
  <c r="J64" i="9"/>
  <c r="G64" i="9"/>
  <c r="H46" i="9"/>
  <c r="J46" i="9"/>
  <c r="G46" i="9"/>
  <c r="H43" i="9"/>
  <c r="J43" i="9"/>
  <c r="G43" i="9"/>
  <c r="H27" i="9"/>
  <c r="J27" i="9"/>
  <c r="G27" i="9"/>
  <c r="H4" i="9"/>
  <c r="H3" i="9" s="1"/>
  <c r="J4" i="9"/>
  <c r="G4" i="9"/>
  <c r="I59" i="9"/>
  <c r="I107" i="9"/>
  <c r="I106" i="9" s="1"/>
  <c r="I63" i="9"/>
  <c r="I62" i="9"/>
  <c r="I61" i="9"/>
  <c r="I60" i="9"/>
  <c r="I58" i="9"/>
  <c r="I57" i="9"/>
  <c r="I56" i="9"/>
  <c r="I55" i="9"/>
  <c r="I54" i="9"/>
  <c r="I90" i="9"/>
  <c r="I89" i="9"/>
  <c r="I105" i="9"/>
  <c r="I104" i="9"/>
  <c r="I103" i="9"/>
  <c r="I102" i="9"/>
  <c r="I101" i="9"/>
  <c r="I81" i="9"/>
  <c r="I80" i="9"/>
  <c r="I79" i="9"/>
  <c r="I78" i="9"/>
  <c r="I77" i="9"/>
  <c r="I76" i="9"/>
  <c r="I75" i="9"/>
  <c r="I98" i="9"/>
  <c r="I97" i="9"/>
  <c r="I96" i="9"/>
  <c r="I95" i="9"/>
  <c r="I94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42" i="9"/>
  <c r="I41" i="9"/>
  <c r="I40" i="9"/>
  <c r="I39" i="9"/>
  <c r="I38" i="9"/>
  <c r="I36" i="9"/>
  <c r="I35" i="9"/>
  <c r="I34" i="9"/>
  <c r="I33" i="9"/>
  <c r="G3" i="9" l="1"/>
  <c r="J3" i="9"/>
  <c r="I93" i="9"/>
  <c r="I99" i="9"/>
  <c r="I11" i="9"/>
  <c r="I10" i="9"/>
  <c r="I9" i="9"/>
  <c r="I29" i="9"/>
  <c r="I48" i="9"/>
  <c r="I53" i="9"/>
  <c r="I52" i="9" l="1"/>
  <c r="I51" i="9"/>
  <c r="I32" i="9"/>
  <c r="I31" i="9"/>
  <c r="I30" i="9"/>
  <c r="I84" i="9"/>
  <c r="I82" i="9" s="1"/>
  <c r="I88" i="9"/>
  <c r="I12" i="9"/>
  <c r="I74" i="9"/>
  <c r="I73" i="9"/>
  <c r="I72" i="9"/>
  <c r="I71" i="9"/>
  <c r="I70" i="9"/>
  <c r="I69" i="9"/>
  <c r="I68" i="9"/>
  <c r="I67" i="9"/>
  <c r="I66" i="9"/>
  <c r="I64" i="9" l="1"/>
  <c r="I27" i="9"/>
  <c r="I92" i="9"/>
  <c r="I91" i="9" s="1"/>
  <c r="I87" i="9"/>
  <c r="I86" i="9" s="1"/>
  <c r="I50" i="9" l="1"/>
  <c r="I49" i="9"/>
  <c r="I46" i="9" s="1"/>
  <c r="I45" i="9"/>
  <c r="I44" i="9"/>
  <c r="I43" i="9" l="1"/>
  <c r="I5" i="9"/>
  <c r="I8" i="9" l="1"/>
  <c r="I7" i="9"/>
  <c r="I6" i="9"/>
  <c r="I4" i="9" l="1"/>
  <c r="I3" i="9" s="1"/>
</calcChain>
</file>

<file path=xl/sharedStrings.xml><?xml version="1.0" encoding="utf-8"?>
<sst xmlns="http://schemas.openxmlformats.org/spreadsheetml/2006/main" count="676" uniqueCount="465">
  <si>
    <t>梅州市公路局</t>
    <phoneticPr fontId="1" type="noConversion"/>
  </si>
  <si>
    <t>茂名市地方公路总站</t>
    <phoneticPr fontId="1" type="noConversion"/>
  </si>
  <si>
    <t>下边坡坍塌</t>
  </si>
  <si>
    <t>阳西站</t>
    <phoneticPr fontId="1" type="noConversion"/>
  </si>
  <si>
    <t>云浮市公路局</t>
    <phoneticPr fontId="1" type="noConversion"/>
  </si>
  <si>
    <t>蕉岭局</t>
    <phoneticPr fontId="1" type="noConversion"/>
  </si>
  <si>
    <t>S223</t>
    <phoneticPr fontId="1" type="noConversion"/>
  </si>
  <si>
    <t>县级管
养单位</t>
  </si>
  <si>
    <t>批复文号</t>
  </si>
  <si>
    <t>X409</t>
    <phoneticPr fontId="1" type="noConversion"/>
  </si>
  <si>
    <t>X603</t>
    <phoneticPr fontId="1" type="noConversion"/>
  </si>
  <si>
    <t>X647</t>
    <phoneticPr fontId="1" type="noConversion"/>
  </si>
  <si>
    <t>右侧路基冲毁坍塌</t>
  </si>
  <si>
    <t>序号</t>
  </si>
  <si>
    <t>市级管
养单位</t>
  </si>
  <si>
    <t>线路编号</t>
  </si>
  <si>
    <t>水毁情况</t>
  </si>
  <si>
    <t>批复方案</t>
  </si>
  <si>
    <t>总投资
(万元)</t>
  </si>
  <si>
    <t>建安费
(万元)</t>
  </si>
  <si>
    <t>合计</t>
  </si>
  <si>
    <t>桩号、名称</t>
    <phoneticPr fontId="1" type="noConversion"/>
  </si>
  <si>
    <t>阳江市地方公路总站</t>
    <phoneticPr fontId="1" type="noConversion"/>
  </si>
  <si>
    <t>X591</t>
    <phoneticPr fontId="1" type="noConversion"/>
  </si>
  <si>
    <t>K15+900~K15+950</t>
    <phoneticPr fontId="1" type="noConversion"/>
  </si>
  <si>
    <t>该路段左侧（内弯）的基边坡严重塌方，部分路面被掏空、破坏，路侧防撞栏被冲毁</t>
    <phoneticPr fontId="1" type="noConversion"/>
  </si>
  <si>
    <t>新建护面墙、修复路面、新建涵洞、新建路侧护栏</t>
    <phoneticPr fontId="1" type="noConversion"/>
  </si>
  <si>
    <t>K38+320~K38+520</t>
    <phoneticPr fontId="1" type="noConversion"/>
  </si>
  <si>
    <t>边坡塌方，路面板部分掏空，路侧波形护栏损毁</t>
    <phoneticPr fontId="1" type="noConversion"/>
  </si>
  <si>
    <t>新建路肩挡墙、修复路面、新建排水设施（边沟）、新建路侧护栏</t>
    <phoneticPr fontId="1" type="noConversion"/>
  </si>
  <si>
    <t>K44+555~K44+690</t>
    <phoneticPr fontId="1" type="noConversion"/>
  </si>
  <si>
    <t>K44+555～K44+620右侧及K44+660～K44+690右侧路基严重的崩塌，K44+620～K44+660右侧原有挡土墙基础被掏空，路侧波形护栏损毁</t>
    <phoneticPr fontId="1" type="noConversion"/>
  </si>
  <si>
    <t>新建路肩挡墙、修复路侧护栏</t>
    <phoneticPr fontId="1" type="noConversion"/>
  </si>
  <si>
    <t>坡严重塌方，部分路面被掏空、破坏，路侧防撞栏被冲毁</t>
    <phoneticPr fontId="1" type="noConversion"/>
  </si>
  <si>
    <t>新建挡墙、修复路面、完善排水、新建涵洞、新建路侧护栏</t>
    <phoneticPr fontId="1" type="noConversion"/>
  </si>
  <si>
    <t>X600</t>
    <phoneticPr fontId="1" type="noConversion"/>
  </si>
  <si>
    <t>K30+300~K30+375</t>
    <phoneticPr fontId="1" type="noConversion"/>
  </si>
  <si>
    <t>右侧基下边坡严重滑坡</t>
    <phoneticPr fontId="1" type="noConversion"/>
  </si>
  <si>
    <t>新建挡墙、坡面锚索锚杆防护、修复受损路面、完善排水系统、新建路侧护栏</t>
    <phoneticPr fontId="1" type="noConversion"/>
  </si>
  <si>
    <t>K36+670~K36+780</t>
    <phoneticPr fontId="1" type="noConversion"/>
  </si>
  <si>
    <t>新建挡墙、新建路侧护栏</t>
    <phoneticPr fontId="1" type="noConversion"/>
  </si>
  <si>
    <t>粤公养函[2016]56号</t>
  </si>
  <si>
    <t>河源市地方公路总站</t>
    <phoneticPr fontId="1" type="noConversion"/>
  </si>
  <si>
    <t>X170</t>
    <phoneticPr fontId="1" type="noConversion"/>
  </si>
  <si>
    <t>K25+680~K25+900</t>
    <phoneticPr fontId="1" type="noConversion"/>
  </si>
  <si>
    <t>右侧边坡坍塌</t>
    <phoneticPr fontId="1" type="noConversion"/>
  </si>
  <si>
    <t>新建挡墙、修复受损路面、新建路侧护栏</t>
  </si>
  <si>
    <t>清远市地方公路总站</t>
    <phoneticPr fontId="1" type="noConversion"/>
  </si>
  <si>
    <t>X369</t>
    <phoneticPr fontId="1" type="noConversion"/>
  </si>
  <si>
    <t>K14+500~K14+535</t>
    <phoneticPr fontId="1" type="noConversion"/>
  </si>
  <si>
    <t>下边坡塌方，部分路面被掏空</t>
    <phoneticPr fontId="1" type="noConversion"/>
  </si>
  <si>
    <t>新建挡墙、修复受损路面、新建路侧护栏</t>
    <phoneticPr fontId="1" type="noConversion"/>
  </si>
  <si>
    <t>K73+900~K73+925</t>
    <phoneticPr fontId="1" type="noConversion"/>
  </si>
  <si>
    <t>右侧边坡出现严重滑坡，水泥板路基掏空严重</t>
    <phoneticPr fontId="1" type="noConversion"/>
  </si>
  <si>
    <t>新建挡墙、修复受损路面、接长涵洞、新建路侧护栏</t>
    <phoneticPr fontId="1" type="noConversion"/>
  </si>
  <si>
    <t>K18+120~K18+210</t>
    <phoneticPr fontId="1" type="noConversion"/>
  </si>
  <si>
    <t>路基被冲毁，基底大面积被掏空</t>
    <phoneticPr fontId="1" type="noConversion"/>
  </si>
  <si>
    <t>新建路堤挡墙、新建路侧混凝土防撞栏</t>
    <phoneticPr fontId="1" type="noConversion"/>
  </si>
  <si>
    <t>K8+250~K8+370</t>
    <phoneticPr fontId="1" type="noConversion"/>
  </si>
  <si>
    <t>新建路肩挡墙、新建路侧混凝土防撞栏、新建浆砌片石边沟</t>
    <phoneticPr fontId="1" type="noConversion"/>
  </si>
  <si>
    <t>K46+580~K46+890</t>
    <phoneticPr fontId="1" type="noConversion"/>
  </si>
  <si>
    <t>K7+360～K7+460</t>
    <phoneticPr fontId="1" type="noConversion"/>
  </si>
  <si>
    <t>右侧路堤边坡塌方，部分路面板悬空</t>
    <phoneticPr fontId="1" type="noConversion"/>
  </si>
  <si>
    <t>新建路肩档墙、修复损毁路面、增设涵洞、设置路肩防撞栏</t>
    <phoneticPr fontId="1" type="noConversion"/>
  </si>
  <si>
    <t>新建挡墙、涵洞、增设急流槽、修复受损路面、新建砼路侧护栏</t>
    <phoneticPr fontId="1" type="noConversion"/>
  </si>
  <si>
    <t>桥梁下部基础已毁坏沉陷，交通中断。</t>
    <phoneticPr fontId="1" type="noConversion"/>
  </si>
  <si>
    <t>韶关局市公路局</t>
    <phoneticPr fontId="1" type="noConversion"/>
  </si>
  <si>
    <t>G323</t>
    <phoneticPr fontId="1" type="noConversion"/>
  </si>
  <si>
    <t>K409+020～K409+110</t>
    <phoneticPr fontId="1" type="noConversion"/>
  </si>
  <si>
    <t>右侧路基挡土墙坍塌</t>
    <phoneticPr fontId="1" type="noConversion"/>
  </si>
  <si>
    <t>新建挡墙、完善边沟、增设临时施工便道、截水沟、修复受损路面、标志标线、新建砼路侧护栏</t>
    <phoneticPr fontId="1" type="noConversion"/>
  </si>
  <si>
    <t>乳源局</t>
    <phoneticPr fontId="1" type="noConversion"/>
  </si>
  <si>
    <t>云安局</t>
    <phoneticPr fontId="1" type="noConversion"/>
  </si>
  <si>
    <t>S339</t>
    <phoneticPr fontId="1" type="noConversion"/>
  </si>
  <si>
    <t>K98+540~K98+800</t>
    <phoneticPr fontId="1" type="noConversion"/>
  </si>
  <si>
    <t>左侧路基冲毁坍塌</t>
    <phoneticPr fontId="1" type="noConversion"/>
  </si>
  <si>
    <t>新建路堤挡墙、骨架护坡、涵洞、完善边沟、新建砼路侧护栏</t>
    <phoneticPr fontId="1" type="noConversion"/>
  </si>
  <si>
    <t>和平局</t>
    <phoneticPr fontId="1" type="noConversion"/>
  </si>
  <si>
    <t>揭阳市公路局</t>
    <phoneticPr fontId="1" type="noConversion"/>
  </si>
  <si>
    <t>S337</t>
    <phoneticPr fontId="1" type="noConversion"/>
  </si>
  <si>
    <t>K111+090</t>
    <phoneticPr fontId="1" type="noConversion"/>
  </si>
  <si>
    <t>K111+090涵洞右侧被冲毁，路基坍塌</t>
    <phoneticPr fontId="1" type="noConversion"/>
  </si>
  <si>
    <t>新建涵洞、路侧护栏、护坡、修复受损路面</t>
    <phoneticPr fontId="1" type="noConversion"/>
  </si>
  <si>
    <t>惠来局</t>
    <phoneticPr fontId="1" type="noConversion"/>
  </si>
  <si>
    <t>X072</t>
    <phoneticPr fontId="1" type="noConversion"/>
  </si>
  <si>
    <t>K109+400～K109+480</t>
    <phoneticPr fontId="1" type="noConversion"/>
  </si>
  <si>
    <t>左侧路基挡土墙坍塌</t>
    <phoneticPr fontId="1" type="noConversion"/>
  </si>
  <si>
    <t>新建挡墙、修复涵洞、路面、护栏、铺草皮护坡</t>
    <phoneticPr fontId="1" type="noConversion"/>
  </si>
  <si>
    <t>大埔局</t>
    <phoneticPr fontId="1" type="noConversion"/>
  </si>
  <si>
    <t>X954</t>
    <phoneticPr fontId="1" type="noConversion"/>
  </si>
  <si>
    <t>K12+250～K12+305</t>
    <phoneticPr fontId="1" type="noConversion"/>
  </si>
  <si>
    <t>右侧路基冲毁坍塌</t>
    <phoneticPr fontId="1" type="noConversion"/>
  </si>
  <si>
    <t>抛片石、新建挡墙、植草护坡、新建路侧护栏</t>
    <phoneticPr fontId="1" type="noConversion"/>
  </si>
  <si>
    <t>五华站</t>
    <phoneticPr fontId="1" type="noConversion"/>
  </si>
  <si>
    <t>X012</t>
    <phoneticPr fontId="1" type="noConversion"/>
  </si>
  <si>
    <t>K21+700～K21+760</t>
    <phoneticPr fontId="1" type="noConversion"/>
  </si>
  <si>
    <t>X022</t>
    <phoneticPr fontId="1" type="noConversion"/>
  </si>
  <si>
    <t>K7+750～K7+815</t>
    <phoneticPr fontId="1" type="noConversion"/>
  </si>
  <si>
    <t>新建挡墙、植草护坡、完善边沟、修复受损路面、新建砼路侧护栏</t>
    <phoneticPr fontId="1" type="noConversion"/>
  </si>
  <si>
    <t>梅县站</t>
  </si>
  <si>
    <t>K20+630～K20+705</t>
    <phoneticPr fontId="1" type="noConversion"/>
  </si>
  <si>
    <t>新建挡墙、修复涵洞、路面、护栏.</t>
    <phoneticPr fontId="1" type="noConversion"/>
  </si>
  <si>
    <t>平远站</t>
    <phoneticPr fontId="1" type="noConversion"/>
  </si>
  <si>
    <t>S228</t>
    <phoneticPr fontId="1" type="noConversion"/>
  </si>
  <si>
    <t>K141+720～K141+780</t>
    <phoneticPr fontId="1" type="noConversion"/>
  </si>
  <si>
    <t>丰顺局</t>
    <phoneticPr fontId="1" type="noConversion"/>
  </si>
  <si>
    <t>K27+050～K27+100</t>
    <phoneticPr fontId="1" type="noConversion"/>
  </si>
  <si>
    <t>梅县局</t>
    <phoneticPr fontId="1" type="noConversion"/>
  </si>
  <si>
    <t>G205</t>
    <phoneticPr fontId="1" type="noConversion"/>
  </si>
  <si>
    <t>兴宁局</t>
    <phoneticPr fontId="1" type="noConversion"/>
  </si>
  <si>
    <t>X013</t>
    <phoneticPr fontId="1" type="noConversion"/>
  </si>
  <si>
    <t>X013线K23+150~K23+250</t>
    <phoneticPr fontId="1" type="noConversion"/>
  </si>
  <si>
    <t>路基挡土墙坍塌</t>
    <phoneticPr fontId="1" type="noConversion"/>
  </si>
  <si>
    <t>新建挡墙、草皮护坡、新建砼路侧护栏</t>
  </si>
  <si>
    <t>X345</t>
    <phoneticPr fontId="1" type="noConversion"/>
  </si>
  <si>
    <t>X013线K18+200</t>
    <phoneticPr fontId="1" type="noConversion"/>
  </si>
  <si>
    <t>新建挡墙、完善排水设施、修复受损路面、新建路侧波形护栏</t>
    <phoneticPr fontId="1" type="noConversion"/>
  </si>
  <si>
    <t>始兴站</t>
    <phoneticPr fontId="1" type="noConversion"/>
  </si>
  <si>
    <t>新建挡墙、护面墙、骨架防护、护坡、增设边沟、急流槽、新建路侧砼护栏</t>
    <phoneticPr fontId="1" type="noConversion"/>
  </si>
  <si>
    <t>阳春站</t>
  </si>
  <si>
    <t>X472</t>
    <phoneticPr fontId="1" type="noConversion"/>
  </si>
  <si>
    <t>X472线K64+640～k64+760</t>
    <phoneticPr fontId="1" type="noConversion"/>
  </si>
  <si>
    <t>路基挡土墙坍塌，路面损毁</t>
    <phoneticPr fontId="1" type="noConversion"/>
  </si>
  <si>
    <t>新建挡墙、护坡、修复受损路面、完善排水、新建路侧波形护栏.。</t>
    <phoneticPr fontId="1" type="noConversion"/>
  </si>
  <si>
    <t>郁南局</t>
    <phoneticPr fontId="1" type="noConversion"/>
  </si>
  <si>
    <t>信宜市</t>
    <phoneticPr fontId="1" type="noConversion"/>
  </si>
  <si>
    <t>X178</t>
    <phoneticPr fontId="1" type="noConversion"/>
  </si>
  <si>
    <t>X178线K2+160~k2+240</t>
    <phoneticPr fontId="1" type="noConversion"/>
  </si>
  <si>
    <t>新建挡墙、增设急流槽、涵洞、修复路面、路侧钢护栏。</t>
  </si>
  <si>
    <t>龙川站</t>
    <phoneticPr fontId="1" type="noConversion"/>
  </si>
  <si>
    <t>S3391线K32+960~k33+420</t>
    <phoneticPr fontId="1" type="noConversion"/>
  </si>
  <si>
    <t>新建挡墙、完善边沟、新建砼路侧护栏。</t>
  </si>
  <si>
    <t>G205线K2646+110~k2646+170</t>
    <phoneticPr fontId="1" type="noConversion"/>
  </si>
  <si>
    <t>茂名市公路局</t>
    <phoneticPr fontId="1" type="noConversion"/>
  </si>
  <si>
    <t>新建路堤挡土墙、拦水路缘石、急流槽、波形梁护栏，坡面植草防护，路基内侧新建水泥砼边沟。</t>
  </si>
  <si>
    <t>信宜局</t>
    <phoneticPr fontId="1" type="noConversion"/>
  </si>
  <si>
    <t>X123</t>
    <phoneticPr fontId="1" type="noConversion"/>
  </si>
  <si>
    <t>X123线K36+950～K37+050</t>
    <phoneticPr fontId="1" type="noConversion"/>
  </si>
  <si>
    <t>新建挡墙、新建砼路侧护栏</t>
    <phoneticPr fontId="1" type="noConversion"/>
  </si>
  <si>
    <t>紫金站</t>
    <phoneticPr fontId="1" type="noConversion"/>
  </si>
  <si>
    <t>新建挡墙、增设边沟、修复受损路面、新建路侧混凝土护栏</t>
  </si>
  <si>
    <t>信宜站</t>
    <phoneticPr fontId="1" type="noConversion"/>
  </si>
  <si>
    <t>新建挡墙、增设边沟、修复受损路面、新建路侧混凝土护栏</t>
    <phoneticPr fontId="1" type="noConversion"/>
  </si>
  <si>
    <t>X629</t>
    <phoneticPr fontId="1" type="noConversion"/>
  </si>
  <si>
    <t>X461</t>
    <phoneticPr fontId="1" type="noConversion"/>
  </si>
  <si>
    <t>K1+800～K1+870</t>
    <phoneticPr fontId="1" type="noConversion"/>
  </si>
  <si>
    <t>X967</t>
    <phoneticPr fontId="1" type="noConversion"/>
  </si>
  <si>
    <t>X472线K64+030～k64+310</t>
    <phoneticPr fontId="1" type="noConversion"/>
  </si>
  <si>
    <t>K41+880~k42+000</t>
    <phoneticPr fontId="1" type="noConversion"/>
  </si>
  <si>
    <t>K47+480~k47+605</t>
    <phoneticPr fontId="1" type="noConversion"/>
  </si>
  <si>
    <t>K46+707~k47+727</t>
    <phoneticPr fontId="1" type="noConversion"/>
  </si>
  <si>
    <t>K1+900～k2+000</t>
    <phoneticPr fontId="1" type="noConversion"/>
  </si>
  <si>
    <t>K64+360～K64+410</t>
    <phoneticPr fontId="1" type="noConversion"/>
  </si>
  <si>
    <t>梅州市地方公路总站</t>
    <phoneticPr fontId="1" type="noConversion"/>
  </si>
  <si>
    <t>韶关市地方公路总站</t>
    <phoneticPr fontId="1" type="noConversion"/>
  </si>
  <si>
    <t>梅县站</t>
    <phoneticPr fontId="1" type="noConversion"/>
  </si>
  <si>
    <t>连南站</t>
    <phoneticPr fontId="1" type="noConversion"/>
  </si>
  <si>
    <t>清新站</t>
    <phoneticPr fontId="1" type="noConversion"/>
  </si>
  <si>
    <t>阳春站</t>
    <phoneticPr fontId="1" type="noConversion"/>
  </si>
  <si>
    <t>Y099</t>
    <phoneticPr fontId="1" type="noConversion"/>
  </si>
  <si>
    <t>大村桥K0+103</t>
    <phoneticPr fontId="1" type="noConversion"/>
  </si>
  <si>
    <t>S370</t>
    <phoneticPr fontId="1" type="noConversion"/>
  </si>
  <si>
    <t>西江桥K67+879</t>
    <phoneticPr fontId="1" type="noConversion"/>
  </si>
  <si>
    <t>重建新桥，桥梁长度32.64米，桥宽12米</t>
    <phoneticPr fontId="1" type="noConversion"/>
  </si>
  <si>
    <t>河源市地方公路总站</t>
  </si>
  <si>
    <t>VE69</t>
  </si>
  <si>
    <t>K0+123倒流水桥</t>
    <phoneticPr fontId="5" type="noConversion"/>
  </si>
  <si>
    <t>桥台冲毁，基础掏空</t>
  </si>
  <si>
    <t>改建6*13钢筋砼空心板桥，桥长88.74m，桥宽6m</t>
  </si>
  <si>
    <t>连交函[2015]91号</t>
  </si>
  <si>
    <t>CM69</t>
  </si>
  <si>
    <t>K1+376鹅塘楼下桥(水车头桥）</t>
    <phoneticPr fontId="5" type="noConversion"/>
  </si>
  <si>
    <t>台基础掏空</t>
  </si>
  <si>
    <t>改建2*10钢筋砼空心板桥，桥长30.64m，桥宽4.5m</t>
  </si>
  <si>
    <t>和交函[2016]14号</t>
  </si>
  <si>
    <t>CX65</t>
  </si>
  <si>
    <t>K0+150东山下桥</t>
    <phoneticPr fontId="5" type="noConversion"/>
  </si>
  <si>
    <t>改建2*12钢筋砼空心板桥，桥长30m，桥宽7.5m</t>
  </si>
  <si>
    <t>和交函[2016]80号</t>
  </si>
  <si>
    <t>U643</t>
  </si>
  <si>
    <t>K0+320郞仑小学桥</t>
    <phoneticPr fontId="5" type="noConversion"/>
  </si>
  <si>
    <t>桥墩、台基础掏空，外露</t>
  </si>
  <si>
    <t>改建2*13钢筋砼空心板桥，桥长30m，桥宽4.5m</t>
  </si>
  <si>
    <t>和交函[2016]81号</t>
  </si>
  <si>
    <t>U500</t>
  </si>
  <si>
    <t>K0+009六度桥</t>
    <phoneticPr fontId="5" type="noConversion"/>
  </si>
  <si>
    <t>桥墩、台基础掏空下塌</t>
  </si>
  <si>
    <t>改建3*13钢筋砼空心板桥，桥长45m，桥宽4.5m</t>
  </si>
  <si>
    <t>和交函[2016]82号</t>
  </si>
  <si>
    <t>v667</t>
  </si>
  <si>
    <t>下罗桥</t>
    <phoneticPr fontId="5" type="noConversion"/>
  </si>
  <si>
    <t>冲毁</t>
  </si>
  <si>
    <t>改建3*12钢筋砼空心板桥，桥长46.74m，桥宽4.5m</t>
  </si>
  <si>
    <t>东交函[2016]132号</t>
  </si>
  <si>
    <t>CC08</t>
  </si>
  <si>
    <t>水口桥</t>
    <phoneticPr fontId="5" type="noConversion"/>
  </si>
  <si>
    <t>局部冲毁</t>
  </si>
  <si>
    <t>重建1*13钢筋砼实心板桥，桥长23.74m，桥宽4.5m</t>
  </si>
  <si>
    <t>C056</t>
  </si>
  <si>
    <t>英畲桥</t>
    <phoneticPr fontId="5" type="noConversion"/>
  </si>
  <si>
    <t>重建1*8钢筋砼实心板桥，桥长18.74m，桥宽4.5m</t>
  </si>
  <si>
    <t>CK87</t>
  </si>
  <si>
    <t>南湖大桥</t>
    <phoneticPr fontId="5" type="noConversion"/>
  </si>
  <si>
    <t>重建5*12钢筋砼T梁桥，桥长70.84m，桥宽6m</t>
  </si>
  <si>
    <t>CU80</t>
  </si>
  <si>
    <t>下仕桥</t>
    <phoneticPr fontId="5" type="noConversion"/>
  </si>
  <si>
    <t>桥墩下沉、桥面板断裂</t>
  </si>
  <si>
    <t>改建3*11钢筋砼空心板桥，桥长37.04m，桥宽4.5m</t>
  </si>
  <si>
    <t>紫交[2015]86号</t>
  </si>
  <si>
    <t>CA03</t>
  </si>
  <si>
    <t>K0+147、三岸东桥</t>
    <phoneticPr fontId="5" type="noConversion"/>
  </si>
  <si>
    <t>桥梁全毁，交通中断。</t>
  </si>
  <si>
    <t>桥梁全长85.0m及引道，桥宽8.0m，上部结构：5×16m预应力混凝土空心板，下部结构：钻孔灌注桩基础、埋置式桥台、桩柱式桥墩。设计荷载：公路-Ⅱ级。</t>
  </si>
  <si>
    <t>春交复[2016]49号</t>
  </si>
  <si>
    <t>CA46</t>
  </si>
  <si>
    <t>K0+049、大坝桥</t>
    <phoneticPr fontId="5" type="noConversion"/>
  </si>
  <si>
    <t>CA45</t>
  </si>
  <si>
    <t>K0+054、塘面桥</t>
  </si>
  <si>
    <t>CA44</t>
  </si>
  <si>
    <t>K0+053、银坑仔桥</t>
  </si>
  <si>
    <t>桥梁全长85.0m及引道，桥宽8.0m，上部结构：5×16m预应力混凝土空心板，下部结构：钻孔灌注桩基础基础、埋置式桥台、桩柱式桥墩。设计荷载：公路-Ⅱ级。</t>
  </si>
  <si>
    <t>CF30</t>
  </si>
  <si>
    <t>K1+572、鱼田颈桥</t>
  </si>
  <si>
    <t>桥梁冲毁，基础淘空，墩砌体脱落，桥面板变形。</t>
  </si>
  <si>
    <t>桥梁全长35.0m及引道，桥宽8.0m，上部结构：3×10m预应力混凝土空心板，下部结构：钻孔灌注桩基础、埋置式桥台、桩柱式桥墩。设计荷载：公路-Ⅱ级。</t>
  </si>
  <si>
    <t>CE35</t>
  </si>
  <si>
    <t>K0+024、高潭桥</t>
  </si>
  <si>
    <t>桥梁全长69.0m及引道，桥宽8.0m，上部结构：4×16m预应力混凝土空心板，下部结构：钻孔灌注桩基础、埋置式桥台、桩柱式桥墩。设计荷载：公路-Ⅱ级。</t>
  </si>
  <si>
    <t>C808</t>
  </si>
  <si>
    <t>K0+908、德塘桥</t>
  </si>
  <si>
    <t>桥梁冲毁，基础冲空，台身砌体冲散脱落严重。</t>
  </si>
  <si>
    <t>桥梁全长44.0m及引道，桥宽8.0m，上部结构：3×13m预应力混凝土空心板，下部结构：钻孔灌注桩基础、埋置式桥台、桩柱式桥墩。设计荷载：公路-Ⅱ级。</t>
  </si>
  <si>
    <t>C454</t>
  </si>
  <si>
    <t>K0+331、祖楼桥</t>
  </si>
  <si>
    <t>桥梁冲毁，墩台基础冲毁，墩台崩塌，桥面下沉。</t>
  </si>
  <si>
    <t>桥梁全长30.46m，桥宽7.5m，上部结构：3×8m实心板，下部结构：钻孔灌注桩基础、桩接盖梁桥台、柱式桥墩。设计荷载：公路-Ⅱ级。</t>
  </si>
  <si>
    <t>C014</t>
  </si>
  <si>
    <t>K0+183、田头屋桥</t>
  </si>
  <si>
    <t>桥梁冲毁，基础冲空严重，造成拱圈开裂严重。</t>
  </si>
  <si>
    <t>桥梁全长85.06m及引道，桥宽7.5m，上部结构：5×16m预应力混凝土空心板，下部结构：钻孔灌注桩基础、柱式桥台、桩柱式桥墩。设计荷载：公路-Ⅱ级。</t>
  </si>
  <si>
    <t>C415</t>
  </si>
  <si>
    <t>K0+337、格水桥</t>
  </si>
  <si>
    <t>桥梁全长37.06m及引道，桥宽7.5m，上部结构：2×16m预应力混凝土空心板，下部结构：钻孔灌注桩基础、桩柱式墩台。设计荷载：公路-Ⅱ级。</t>
  </si>
  <si>
    <t>C563</t>
  </si>
  <si>
    <t>K1+392、高放桥</t>
  </si>
  <si>
    <t>桥梁全毁，墩台基础冲毁、崩塌。</t>
  </si>
  <si>
    <t>桥梁全长37.06m及引道，桥宽7.5m，上部结构：2×16m预应力混凝土空心板，下部结构：钻孔灌注桩基础、柱式桥台、桩柱式桥墩。设计荷载：公路-Ⅱ级。</t>
  </si>
  <si>
    <t>C461</t>
  </si>
  <si>
    <t>K0+681、网山桥</t>
  </si>
  <si>
    <t>桥梁冲毁，桥台基础冲空，桥墩冲毁崩塌，桥面下沉。</t>
  </si>
  <si>
    <t>重建桥梁全长22.06m，桥宽7.5m，上部结构：2×8m实心板，下部结构：钻孔灌注桩基础、薄壁式桥台、柱式桥墩。设计荷载：公路-Ⅱ级。</t>
  </si>
  <si>
    <t>C694</t>
  </si>
  <si>
    <t>桩号0.589、那安桥</t>
  </si>
  <si>
    <t>桥梁冲毁，桥墩基础严重淘空、下沉，墩身偏移，T梁和桥面严重深陷、变形。</t>
  </si>
  <si>
    <t>桥梁全长53m，桥宽6.5m，上部结构：3×16m预应力混凝土空心板，下部结构：钻孔灌注桩基础、双柱式墩台。设计荷载：公路-Ⅱ级。</t>
  </si>
  <si>
    <t>阳东站</t>
  </si>
  <si>
    <t>东交复（2016）47号</t>
  </si>
  <si>
    <t>U242</t>
  </si>
  <si>
    <t>桩号0.406、那栋桥</t>
  </si>
  <si>
    <t>桥梁冲毁，基础淘空，桥墩下沉，桥面开裂，引道冲断。</t>
  </si>
  <si>
    <t>桥梁全长85m，桥宽7.0m，上部结构：5×16m预应力混凝土空心板，下部结构：钻孔灌注桩基础，埋置式桥台、桩柱式桥墩。设计荷载：公路-Ⅱ级。</t>
  </si>
  <si>
    <t>东交复（2016）48号</t>
  </si>
  <si>
    <t>C135</t>
  </si>
  <si>
    <t>K0+105麻坑桥</t>
    <phoneticPr fontId="5" type="noConversion"/>
  </si>
  <si>
    <t>全桥冲毁</t>
  </si>
  <si>
    <t>重建桥梁采用U型桥台配实体墩扩大基础，新建桥长97.45米，桥宽4.5米</t>
  </si>
  <si>
    <t>清新站</t>
  </si>
  <si>
    <t>清市地总[2015]108号</t>
  </si>
  <si>
    <t>C163</t>
  </si>
  <si>
    <t>K0+100白石坑桥</t>
    <phoneticPr fontId="5" type="noConversion"/>
  </si>
  <si>
    <t>桥墩基础悬空</t>
  </si>
  <si>
    <t>重建桥梁采用U型桥台配实体墩扩大基础，新建桥长46米，桥宽3.5米</t>
  </si>
  <si>
    <t>清市地总[2015]112号</t>
  </si>
  <si>
    <t>C368</t>
  </si>
  <si>
    <t>K0+500石咀桥</t>
    <phoneticPr fontId="5" type="noConversion"/>
  </si>
  <si>
    <t>重建2跨13米空心板桥，新建桥长34.04米，桥宽3.5米</t>
  </si>
  <si>
    <t>佛冈站</t>
  </si>
  <si>
    <t>清市地总[2015]95号</t>
  </si>
  <si>
    <t>C268</t>
  </si>
  <si>
    <t>K0+806石咀头桥</t>
    <phoneticPr fontId="5" type="noConversion"/>
  </si>
  <si>
    <t>重建3跨13米空心板桥，新建桥长47.04米，桥宽3.5米</t>
  </si>
  <si>
    <t>C172</t>
  </si>
  <si>
    <t>K0+830水口庙桥</t>
    <phoneticPr fontId="5" type="noConversion"/>
  </si>
  <si>
    <t>基础淘空</t>
  </si>
  <si>
    <t>重建1跨13米空心板桥，新建桥长22米，桥宽8米</t>
  </si>
  <si>
    <t>C611</t>
  </si>
  <si>
    <t>K0+640、石礤桥</t>
    <phoneticPr fontId="5" type="noConversion"/>
  </si>
  <si>
    <t>拆除重建，重建桥长54.3m，桥宽5m</t>
    <phoneticPr fontId="5" type="noConversion"/>
  </si>
  <si>
    <t>平远站</t>
  </si>
  <si>
    <t>平交字[2015]33号</t>
  </si>
  <si>
    <t>K0+042、雪芬桥</t>
    <phoneticPr fontId="5" type="noConversion"/>
  </si>
  <si>
    <t>拆除重建，重建桥长42.2m，桥宽5m</t>
    <phoneticPr fontId="5" type="noConversion"/>
  </si>
  <si>
    <t>C162</t>
  </si>
  <si>
    <t>K0+459、杞溪桥</t>
    <phoneticPr fontId="5" type="noConversion"/>
  </si>
  <si>
    <t>拆除重建，重建桥长25.3m，桥宽4m</t>
    <phoneticPr fontId="5" type="noConversion"/>
  </si>
  <si>
    <t>平交字[2015]34号</t>
  </si>
  <si>
    <t>C158</t>
  </si>
  <si>
    <t>K0+026、方田里桥</t>
  </si>
  <si>
    <t>拆除重建，重建桥长15.08m，桥宽4m</t>
    <phoneticPr fontId="5" type="noConversion"/>
  </si>
  <si>
    <t>C622</t>
  </si>
  <si>
    <t>K0+108、高桥</t>
  </si>
  <si>
    <t>拆除重建，重建桥长22.12m，桥宽4m</t>
    <phoneticPr fontId="5" type="noConversion"/>
  </si>
  <si>
    <t>C623</t>
  </si>
  <si>
    <t>K0+147、坝子里桥</t>
    <phoneticPr fontId="5" type="noConversion"/>
  </si>
  <si>
    <t>拆除重建，重建桥长23.1m，桥宽4m</t>
    <phoneticPr fontId="5" type="noConversion"/>
  </si>
  <si>
    <t>C700</t>
  </si>
  <si>
    <t>K0+787、 利民桥</t>
    <phoneticPr fontId="5" type="noConversion"/>
  </si>
  <si>
    <t>拆除重建，重建桥长12.3m，桥宽4m</t>
    <phoneticPr fontId="5" type="noConversion"/>
  </si>
  <si>
    <t>C278</t>
  </si>
  <si>
    <t>K0+086 黎村桥</t>
    <phoneticPr fontId="5" type="noConversion"/>
  </si>
  <si>
    <t>桥长85米，桥宽6.5米，采用5×16米预应力空心板。</t>
  </si>
  <si>
    <t>怀集站</t>
  </si>
  <si>
    <t>怀交基[2016]28号</t>
  </si>
  <si>
    <t>U578</t>
  </si>
  <si>
    <t>K0+045麻崀桥</t>
    <phoneticPr fontId="5" type="noConversion"/>
  </si>
  <si>
    <t>被洪水冲毁</t>
  </si>
  <si>
    <t>新建桥长85.54米，宽6.4米</t>
  </si>
  <si>
    <t>广宁站</t>
  </si>
  <si>
    <t>W271</t>
  </si>
  <si>
    <t>K0+162道金桥</t>
    <phoneticPr fontId="5" type="noConversion"/>
  </si>
  <si>
    <t>多处基础已淘空</t>
  </si>
  <si>
    <t>C078</t>
  </si>
  <si>
    <t>K1+280,大桥头桥</t>
    <phoneticPr fontId="5" type="noConversion"/>
  </si>
  <si>
    <t>桥台被洪水冲空，导致桥梁坍塌</t>
  </si>
  <si>
    <t>新建桥长20m，采用1-10m简支板桥，桥宽4.8m，净宽4.07m，下部构造采用重力式U型台。</t>
  </si>
  <si>
    <t>封开站</t>
  </si>
  <si>
    <t>封交函[2015]140号</t>
  </si>
  <si>
    <t>C040</t>
  </si>
  <si>
    <t>K0+400百步桥</t>
    <phoneticPr fontId="5" type="noConversion"/>
  </si>
  <si>
    <t>桥墩下沉、倾侧</t>
  </si>
  <si>
    <t>新建桥梁全长44米，宽4.5</t>
  </si>
  <si>
    <t>德庆站</t>
  </si>
  <si>
    <t>V552</t>
  </si>
  <si>
    <t>K0+490，罗源桥</t>
    <phoneticPr fontId="5" type="noConversion"/>
  </si>
  <si>
    <t>原为过水路堤，洪水季节经常出现水漫路堤情况，基础淘空，存在严重安全隐患。</t>
  </si>
  <si>
    <t>新建桥全长21.54m、，总宽4.8m，净宽4.07m，防撞栏0.365x2m。上部构造采用1x16m正交现浇简支T梁，下部构造采用薄壁桥台，灌注桩基础。</t>
  </si>
  <si>
    <t>封交函[2015]44号</t>
  </si>
  <si>
    <t>C259</t>
  </si>
  <si>
    <t>K0+158、村委桥</t>
    <phoneticPr fontId="5" type="noConversion"/>
  </si>
  <si>
    <t>桥面下沉</t>
  </si>
  <si>
    <t>改建桥长39m，桥宽4.5m</t>
    <phoneticPr fontId="5" type="noConversion"/>
  </si>
  <si>
    <t>C077线</t>
  </si>
  <si>
    <t>K0+179，谢屋坝桥</t>
    <phoneticPr fontId="5" type="noConversion"/>
  </si>
  <si>
    <t>部分涵管被冲走，夏季漫水高达1.5米，村民无法通行。部分路基被冲毁</t>
  </si>
  <si>
    <t>拆除旧涵，重建一座2-8.0米钢筋混凝土实心板桥，桥长24米，桥宽4.5米。</t>
    <phoneticPr fontId="5" type="noConversion"/>
  </si>
  <si>
    <t>曲江区公路站</t>
  </si>
  <si>
    <t>韶曲交[2015] 123 号</t>
  </si>
  <si>
    <t>VN44440904</t>
  </si>
  <si>
    <t>K0+150、雅湖桥</t>
    <phoneticPr fontId="5" type="noConversion"/>
  </si>
  <si>
    <t>基础掏空、台身倾斜</t>
  </si>
  <si>
    <t>桥长22米、宽7米</t>
  </si>
  <si>
    <t>电白站</t>
  </si>
  <si>
    <t>电交复[2016]28号</t>
  </si>
  <si>
    <t>U479440904</t>
  </si>
  <si>
    <t>K0+293、水轮泵桥</t>
    <phoneticPr fontId="5" type="noConversion"/>
  </si>
  <si>
    <t>桥长31米、宽5.5米</t>
  </si>
  <si>
    <t>电交复[2016]29号</t>
  </si>
  <si>
    <t>C066</t>
  </si>
  <si>
    <t>k0+486、荷花镇园岭桥修复工程</t>
    <phoneticPr fontId="5" type="noConversion"/>
  </si>
  <si>
    <t>全毁</t>
  </si>
  <si>
    <t>重建全长16米、宽4.5米的空心板桥。上部构造为1-11米的空心板，下部构造为重力式桥台，扩大基础</t>
  </si>
  <si>
    <t>高州站</t>
  </si>
  <si>
    <t>高交复[2016]11号</t>
  </si>
  <si>
    <t>C983</t>
  </si>
  <si>
    <t>k0+046、荷花镇辛田桥修复工程</t>
    <phoneticPr fontId="5" type="noConversion"/>
  </si>
  <si>
    <t>重建全长10米、宽4.5米的矩形板桥。上部构造为1-5米的矩形板，下部构造为重力式桥台，扩大基础</t>
  </si>
  <si>
    <t>高交复[2016]12号</t>
  </si>
  <si>
    <t>C713</t>
  </si>
  <si>
    <t>K0+844风垌桥</t>
    <phoneticPr fontId="5" type="noConversion"/>
  </si>
  <si>
    <t>桥墩下沉，拱圈纵缝</t>
  </si>
  <si>
    <t>重建3*13钢筋砼空心板桥，桥长44m，桥宽5.5m</t>
    <phoneticPr fontId="5" type="noConversion"/>
  </si>
  <si>
    <t>信宜站</t>
  </si>
  <si>
    <t>信交基函[2016]31号</t>
  </si>
  <si>
    <t>CC82</t>
  </si>
  <si>
    <t>K0+105南北桥</t>
    <phoneticPr fontId="5" type="noConversion"/>
  </si>
  <si>
    <t>重建3*10钢筋砼空心板桥，桥长35m，桥宽5.5m</t>
    <phoneticPr fontId="5" type="noConversion"/>
  </si>
  <si>
    <t>信交基函[2016]33号</t>
  </si>
  <si>
    <t>K0+144凡果岭桥</t>
    <phoneticPr fontId="5" type="noConversion"/>
  </si>
  <si>
    <t>第一跨1/4拱圈横向裂缝貫通，缝宽1-2cm，引道路基冲断20米。</t>
  </si>
  <si>
    <t>信交基函[2016]30号</t>
  </si>
  <si>
    <t>CA54</t>
  </si>
  <si>
    <t>K1+023凤石桥</t>
    <phoneticPr fontId="5" type="noConversion"/>
  </si>
  <si>
    <t>石拱中间裂缝，抽砂船局部撞毁，已经限制通行，建议危桥改建</t>
  </si>
  <si>
    <t>重建4*13钢筋砼空心板桥，桥长60m，桥宽5.5m</t>
    <phoneticPr fontId="5" type="noConversion"/>
  </si>
  <si>
    <t>信交基函[2016]32号</t>
  </si>
  <si>
    <t>W433</t>
  </si>
  <si>
    <t>K0+128薄底二桥</t>
    <phoneticPr fontId="5" type="noConversion"/>
  </si>
  <si>
    <t>石拱中墩冲毁，横向裂缝贯通裂缝较宽，已经限制通行。建议改建</t>
  </si>
  <si>
    <t>重建2*13钢筋砼空心板桥，桥长36m，桥宽5.5m</t>
    <phoneticPr fontId="5" type="noConversion"/>
  </si>
  <si>
    <t>信地公报[2016]47号</t>
  </si>
  <si>
    <t>WCA9</t>
  </si>
  <si>
    <t>K0+200长旺垌桥</t>
    <phoneticPr fontId="5" type="noConversion"/>
  </si>
  <si>
    <t>重建4*20预应力钢筋砼空心板桥，桥长85m，桥宽12m</t>
    <phoneticPr fontId="5" type="noConversion"/>
  </si>
  <si>
    <t>信交基函[2016]35号</t>
  </si>
  <si>
    <t>C609</t>
  </si>
  <si>
    <t>K9+345后港水库桥</t>
    <phoneticPr fontId="5" type="noConversion"/>
  </si>
  <si>
    <t>原桥长31米，宽3米桥梁冲毁</t>
  </si>
  <si>
    <t>重建桥长40.92米，桥宽7米。3x10现浇钢筋砼空心板，桥长40.92m，宽7m，下部结构采用U型桥台，实体式桥墩，扩大基础。</t>
  </si>
  <si>
    <t>徐闻站</t>
    <phoneticPr fontId="5" type="noConversion"/>
  </si>
  <si>
    <t>河源市公路局</t>
    <phoneticPr fontId="1" type="noConversion"/>
  </si>
  <si>
    <t>韶关市地方公路总站</t>
    <phoneticPr fontId="1" type="noConversion"/>
  </si>
  <si>
    <t>湛江市地方公路总站</t>
    <phoneticPr fontId="1" type="noConversion"/>
  </si>
  <si>
    <t>肇庆市地方公路总站</t>
    <phoneticPr fontId="1" type="noConversion"/>
  </si>
  <si>
    <t>清远市地方公路总站</t>
    <phoneticPr fontId="1" type="noConversion"/>
  </si>
  <si>
    <t>阳江市</t>
    <phoneticPr fontId="1" type="noConversion"/>
  </si>
  <si>
    <t>河源市</t>
    <phoneticPr fontId="1" type="noConversion"/>
  </si>
  <si>
    <t>清远市</t>
    <phoneticPr fontId="1" type="noConversion"/>
  </si>
  <si>
    <t>茂名市</t>
    <phoneticPr fontId="1" type="noConversion"/>
  </si>
  <si>
    <t>梅州市</t>
    <phoneticPr fontId="1" type="noConversion"/>
  </si>
  <si>
    <t>云浮市</t>
    <phoneticPr fontId="1" type="noConversion"/>
  </si>
  <si>
    <t>韶关市</t>
    <phoneticPr fontId="1" type="noConversion"/>
  </si>
  <si>
    <t>揭阳市</t>
    <phoneticPr fontId="1" type="noConversion"/>
  </si>
  <si>
    <t>肇庆市</t>
    <phoneticPr fontId="1" type="noConversion"/>
  </si>
  <si>
    <t>湛江市</t>
    <phoneticPr fontId="1" type="noConversion"/>
  </si>
  <si>
    <t>核定省补助
(万元)</t>
    <phoneticPr fontId="1" type="noConversion"/>
  </si>
  <si>
    <t>龙交规函[2015]155号</t>
  </si>
  <si>
    <t>龙交规函[2015]143号</t>
  </si>
  <si>
    <t>龙交规函[2016]33号</t>
  </si>
  <si>
    <t>粤公养函[2016]433号</t>
  </si>
  <si>
    <t>粤公养[2015]132号</t>
  </si>
  <si>
    <t>粤公养函[2016]469号</t>
  </si>
  <si>
    <t>粤公养函[2016]470号</t>
  </si>
  <si>
    <t>粤公养[2015]394号</t>
  </si>
  <si>
    <t>粤公养函[2016]451号</t>
  </si>
  <si>
    <t>新交[2016]50号</t>
  </si>
  <si>
    <t>粤公养函[2016]452号</t>
  </si>
  <si>
    <t>宁交[2016]266号</t>
  </si>
  <si>
    <t>宁交[2016]265号</t>
  </si>
  <si>
    <t>受2016年“5.27”特大暴雨影响，该桥被洪水冲毁，交通中断</t>
    <phoneticPr fontId="1" type="noConversion"/>
  </si>
  <si>
    <t>本计划下达省补助
(万元)</t>
    <phoneticPr fontId="1" type="noConversion"/>
  </si>
  <si>
    <t>连平县</t>
    <phoneticPr fontId="1" type="noConversion"/>
  </si>
  <si>
    <t>和平县</t>
    <phoneticPr fontId="1" type="noConversion"/>
  </si>
  <si>
    <t>东源县</t>
    <phoneticPr fontId="1" type="noConversion"/>
  </si>
  <si>
    <t>龙川县</t>
    <phoneticPr fontId="1" type="noConversion"/>
  </si>
  <si>
    <t>紫金县</t>
    <phoneticPr fontId="1" type="noConversion"/>
  </si>
  <si>
    <t>信宜市</t>
    <phoneticPr fontId="1" type="noConversion"/>
  </si>
  <si>
    <t>新丰县</t>
    <phoneticPr fontId="1" type="noConversion"/>
  </si>
  <si>
    <t>S283</t>
    <phoneticPr fontId="1" type="noConversion"/>
  </si>
  <si>
    <t>紫金站</t>
    <phoneticPr fontId="1" type="noConversion"/>
  </si>
  <si>
    <t>2016年公路灾毁修复补助资金明细计划表（重点项目）</t>
    <phoneticPr fontId="1" type="noConversion"/>
  </si>
  <si>
    <t>粤公养函[2016]56号</t>
    <phoneticPr fontId="1" type="noConversion"/>
  </si>
  <si>
    <t>粤公养函[2016]423号</t>
    <phoneticPr fontId="1" type="noConversion"/>
  </si>
  <si>
    <t>粤公养函[2016]482号</t>
    <phoneticPr fontId="1" type="noConversion"/>
  </si>
  <si>
    <t>粤公养函[2016]463号</t>
    <phoneticPr fontId="1" type="noConversion"/>
  </si>
  <si>
    <t>粤公养函[2016]30号</t>
    <phoneticPr fontId="1" type="noConversion"/>
  </si>
  <si>
    <t>粤公养函[2016]512号</t>
    <phoneticPr fontId="1" type="noConversion"/>
  </si>
  <si>
    <t>粤公养函[2016]513号</t>
    <phoneticPr fontId="1" type="noConversion"/>
  </si>
  <si>
    <t>粤公养函[2016]519号</t>
    <phoneticPr fontId="1" type="noConversion"/>
  </si>
  <si>
    <t>粤公养函[2016]29号</t>
    <phoneticPr fontId="1" type="noConversion"/>
  </si>
  <si>
    <t>粤公养函[2016]518号</t>
    <phoneticPr fontId="1" type="noConversion"/>
  </si>
  <si>
    <t>粤公养函[2016]28号</t>
    <phoneticPr fontId="1" type="noConversion"/>
  </si>
  <si>
    <t>粤公养函[2016]515号</t>
    <phoneticPr fontId="1" type="noConversion"/>
  </si>
  <si>
    <t>粤公养函[2016]514号</t>
    <phoneticPr fontId="1" type="noConversion"/>
  </si>
  <si>
    <t>粤公养函[2016]506号</t>
    <phoneticPr fontId="1" type="noConversion"/>
  </si>
  <si>
    <t>粤公养函[2016]507号</t>
    <phoneticPr fontId="1" type="noConversion"/>
  </si>
  <si>
    <t>粤公养函[2016]510号</t>
    <phoneticPr fontId="1" type="noConversion"/>
  </si>
  <si>
    <t>粤公养函[2016]509号</t>
    <phoneticPr fontId="1" type="noConversion"/>
  </si>
  <si>
    <t>粤公养函[2016]479号</t>
    <phoneticPr fontId="1" type="noConversion"/>
  </si>
  <si>
    <t>粤公养函[2016]480号</t>
    <phoneticPr fontId="1" type="noConversion"/>
  </si>
  <si>
    <t>粤公养函[2016]501号</t>
    <phoneticPr fontId="1" type="noConversion"/>
  </si>
  <si>
    <t>粤公养函[2016]511号</t>
    <phoneticPr fontId="1" type="noConversion"/>
  </si>
  <si>
    <t>粤公养函[2016]481号</t>
    <phoneticPr fontId="1" type="noConversion"/>
  </si>
  <si>
    <t>德交[2016]60号</t>
    <phoneticPr fontId="1" type="noConversion"/>
  </si>
  <si>
    <t>徐交函[2016]29</t>
    <phoneticPr fontId="1" type="noConversion"/>
  </si>
  <si>
    <r>
      <t>新建12×16</t>
    </r>
    <r>
      <rPr>
        <sz val="11"/>
        <color indexed="8"/>
        <rFont val="宋体"/>
        <family val="3"/>
        <charset val="134"/>
        <scheme val="minor"/>
      </rPr>
      <t>m预应力钢筋砼简支空心板桥。桥长197m，桥宽8m。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</si>
</sst>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</cellStyleXfs>
  <cellXfs count="100">
    <xf numFmtId="0" fontId="0" fillId="0" borderId="0" xfId="0"/>
    <xf numFmtId="0" fontId="8" fillId="0" borderId="0" xfId="0" applyNumberFormat="1" applyFont="1"/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9" fillId="0" borderId="2" xfId="11" applyNumberFormat="1" applyFont="1" applyBorder="1" applyAlignment="1">
      <alignment horizontal="center" vertical="center" wrapText="1"/>
    </xf>
    <xf numFmtId="176" fontId="9" fillId="0" borderId="2" xfId="11" applyNumberFormat="1" applyFont="1" applyBorder="1" applyAlignment="1">
      <alignment horizontal="center" vertical="center" wrapText="1"/>
    </xf>
    <xf numFmtId="0" fontId="9" fillId="0" borderId="2" xfId="4" applyNumberFormat="1" applyFont="1" applyBorder="1" applyAlignment="1">
      <alignment horizontal="center" vertical="center" wrapText="1"/>
    </xf>
    <xf numFmtId="0" fontId="9" fillId="0" borderId="2" xfId="3" applyNumberFormat="1" applyFont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11" fillId="0" borderId="2" xfId="11" applyNumberFormat="1" applyFont="1" applyBorder="1" applyAlignment="1">
      <alignment horizontal="center" vertical="center" wrapText="1"/>
    </xf>
    <xf numFmtId="176" fontId="11" fillId="0" borderId="2" xfId="11" applyNumberFormat="1" applyFont="1" applyBorder="1" applyAlignment="1">
      <alignment horizontal="center" vertical="center" wrapText="1"/>
    </xf>
    <xf numFmtId="0" fontId="11" fillId="0" borderId="2" xfId="4" applyNumberFormat="1" applyFont="1" applyBorder="1" applyAlignment="1">
      <alignment horizontal="center" vertical="center" wrapText="1"/>
    </xf>
    <xf numFmtId="0" fontId="8" fillId="0" borderId="3" xfId="3" applyNumberFormat="1" applyFont="1" applyBorder="1" applyAlignment="1">
      <alignment horizontal="center" vertical="center" wrapText="1"/>
    </xf>
    <xf numFmtId="176" fontId="9" fillId="0" borderId="2" xfId="3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9" fillId="3" borderId="2" xfId="4" applyNumberFormat="1" applyFont="1" applyFill="1" applyBorder="1" applyAlignment="1">
      <alignment horizontal="center" vertical="center" wrapText="1"/>
    </xf>
    <xf numFmtId="0" fontId="4" fillId="0" borderId="2" xfId="11" applyNumberFormat="1" applyFont="1" applyBorder="1" applyAlignment="1">
      <alignment horizontal="center" vertical="center" wrapText="1"/>
    </xf>
    <xf numFmtId="176" fontId="4" fillId="0" borderId="2" xfId="11" applyNumberFormat="1" applyFont="1" applyBorder="1" applyAlignment="1">
      <alignment horizontal="center" vertical="center" wrapText="1"/>
    </xf>
    <xf numFmtId="0" fontId="4" fillId="0" borderId="2" xfId="4" applyNumberFormat="1" applyFont="1" applyBorder="1" applyAlignment="1">
      <alignment horizontal="center" vertical="center" wrapText="1"/>
    </xf>
    <xf numFmtId="0" fontId="8" fillId="0" borderId="2" xfId="3" applyNumberFormat="1" applyFont="1" applyBorder="1" applyAlignment="1">
      <alignment horizontal="center" vertical="center" wrapText="1"/>
    </xf>
    <xf numFmtId="176" fontId="8" fillId="0" borderId="0" xfId="0" applyNumberFormat="1" applyFont="1"/>
    <xf numFmtId="0" fontId="11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9" fillId="0" borderId="2" xfId="11" applyNumberFormat="1" applyFont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11" fillId="0" borderId="2" xfId="11" applyNumberFormat="1" applyFont="1" applyBorder="1" applyAlignment="1">
      <alignment horizontal="left" vertical="center" wrapText="1"/>
    </xf>
    <xf numFmtId="0" fontId="9" fillId="0" borderId="2" xfId="3" applyNumberFormat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0" borderId="2" xfId="11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wrapText="1"/>
    </xf>
    <xf numFmtId="0" fontId="9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wrapText="1"/>
    </xf>
    <xf numFmtId="0" fontId="7" fillId="3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left" vertical="center" wrapText="1"/>
    </xf>
    <xf numFmtId="0" fontId="4" fillId="0" borderId="2" xfId="4" applyNumberFormat="1" applyFont="1" applyBorder="1" applyAlignment="1">
      <alignment horizontal="left" vertical="center" wrapText="1"/>
    </xf>
    <xf numFmtId="176" fontId="4" fillId="0" borderId="2" xfId="4" applyNumberFormat="1" applyFont="1" applyBorder="1" applyAlignment="1">
      <alignment horizontal="center" vertical="center" wrapText="1"/>
    </xf>
    <xf numFmtId="176" fontId="4" fillId="0" borderId="2" xfId="3" applyNumberFormat="1" applyFont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6" xfId="3" applyNumberFormat="1" applyFont="1" applyBorder="1" applyAlignment="1">
      <alignment horizontal="center" vertical="center" wrapText="1"/>
    </xf>
    <xf numFmtId="0" fontId="7" fillId="0" borderId="7" xfId="3" applyNumberFormat="1" applyFont="1" applyBorder="1" applyAlignment="1">
      <alignment horizontal="center" vertical="center" wrapText="1"/>
    </xf>
    <xf numFmtId="0" fontId="7" fillId="0" borderId="5" xfId="3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10" xfId="7"/>
    <cellStyle name="常规 11" xfId="8"/>
    <cellStyle name="常规 12" xfId="9"/>
    <cellStyle name="常规 19" xfId="10"/>
    <cellStyle name="常规 2" xfId="1"/>
    <cellStyle name="常规 5" xfId="2"/>
    <cellStyle name="常规 6" xfId="3"/>
    <cellStyle name="常规 6 2" xfId="11"/>
    <cellStyle name="常规 7" xfId="4"/>
    <cellStyle name="常规 8" xfId="5"/>
    <cellStyle name="常规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A85" workbookViewId="0">
      <selection activeCell="M5" sqref="M5"/>
    </sheetView>
  </sheetViews>
  <sheetFormatPr defaultColWidth="8.69921875" defaultRowHeight="14.4"/>
  <cols>
    <col min="1" max="1" width="4.19921875" style="1" customWidth="1"/>
    <col min="2" max="2" width="11.5" style="1" customWidth="1"/>
    <col min="3" max="3" width="5.3984375" style="1" customWidth="1"/>
    <col min="4" max="4" width="9.8984375" style="1" customWidth="1"/>
    <col min="5" max="5" width="22.69921875" style="70" customWidth="1"/>
    <col min="6" max="6" width="26.59765625" style="70" customWidth="1"/>
    <col min="7" max="7" width="7.8984375" style="45" customWidth="1"/>
    <col min="8" max="8" width="8" style="45" customWidth="1"/>
    <col min="9" max="9" width="7.19921875" style="45" customWidth="1"/>
    <col min="10" max="10" width="8.19921875" style="1" customWidth="1"/>
    <col min="11" max="11" width="7.59765625" style="1" customWidth="1"/>
    <col min="12" max="12" width="10.59765625" style="1" customWidth="1"/>
    <col min="13" max="16384" width="8.69921875" style="1"/>
  </cols>
  <sheetData>
    <row r="1" spans="1:13" ht="31.2" customHeight="1">
      <c r="A1" s="97" t="s">
        <v>439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3" s="5" customFormat="1" ht="47.4" customHeight="1">
      <c r="A2" s="2" t="s">
        <v>13</v>
      </c>
      <c r="B2" s="3" t="s">
        <v>14</v>
      </c>
      <c r="C2" s="3" t="s">
        <v>15</v>
      </c>
      <c r="D2" s="3" t="s">
        <v>21</v>
      </c>
      <c r="E2" s="3" t="s">
        <v>16</v>
      </c>
      <c r="F2" s="3" t="s">
        <v>17</v>
      </c>
      <c r="G2" s="4" t="s">
        <v>18</v>
      </c>
      <c r="H2" s="4" t="s">
        <v>19</v>
      </c>
      <c r="I2" s="4" t="s">
        <v>414</v>
      </c>
      <c r="J2" s="3" t="s">
        <v>429</v>
      </c>
      <c r="K2" s="3" t="s">
        <v>7</v>
      </c>
      <c r="L2" s="3" t="s">
        <v>8</v>
      </c>
    </row>
    <row r="3" spans="1:13" s="8" customFormat="1" ht="24.6" customHeight="1">
      <c r="A3" s="98" t="s">
        <v>20</v>
      </c>
      <c r="B3" s="98"/>
      <c r="C3" s="99"/>
      <c r="D3" s="6"/>
      <c r="E3" s="49"/>
      <c r="F3" s="49"/>
      <c r="G3" s="7">
        <f>G4+G27+G43+G46+G64+G82+G86+G91+G93+G99+G106</f>
        <v>17861</v>
      </c>
      <c r="H3" s="7">
        <f>H4+H27+H43+H46+H64+H82+H86+H91+H93+H99+H106</f>
        <v>13935</v>
      </c>
      <c r="I3" s="7">
        <f>I4+I27+I43+I46+I64+I82+I86+I91+I93+I99+I106</f>
        <v>7280</v>
      </c>
      <c r="J3" s="7">
        <f>J4+J27+J43+J46+J64+J82+J86+J91+J93+J99+J106</f>
        <v>7280</v>
      </c>
      <c r="K3" s="3"/>
      <c r="L3" s="3"/>
    </row>
    <row r="4" spans="1:13" s="8" customFormat="1" ht="24.6" customHeight="1">
      <c r="A4" s="98" t="s">
        <v>404</v>
      </c>
      <c r="B4" s="98"/>
      <c r="C4" s="99"/>
      <c r="D4" s="6"/>
      <c r="E4" s="49"/>
      <c r="F4" s="49"/>
      <c r="G4" s="7">
        <f>SUM(G5:G26)</f>
        <v>7708</v>
      </c>
      <c r="H4" s="7">
        <f>SUM(H5:H26)</f>
        <v>5876</v>
      </c>
      <c r="I4" s="7">
        <f>SUM(I5:I26)</f>
        <v>2398</v>
      </c>
      <c r="J4" s="6">
        <f>SUM(J5:J26)</f>
        <v>2398</v>
      </c>
      <c r="K4" s="3"/>
      <c r="L4" s="3"/>
    </row>
    <row r="5" spans="1:13" s="14" customFormat="1" ht="57.6">
      <c r="A5" s="9">
        <v>1</v>
      </c>
      <c r="B5" s="10" t="s">
        <v>22</v>
      </c>
      <c r="C5" s="10" t="s">
        <v>23</v>
      </c>
      <c r="D5" s="10" t="s">
        <v>24</v>
      </c>
      <c r="E5" s="50" t="s">
        <v>25</v>
      </c>
      <c r="F5" s="50" t="s">
        <v>26</v>
      </c>
      <c r="G5" s="11">
        <v>232</v>
      </c>
      <c r="H5" s="11">
        <v>158</v>
      </c>
      <c r="I5" s="12">
        <f t="shared" ref="I5:I10" si="0">H5*0.7</f>
        <v>111</v>
      </c>
      <c r="J5" s="9">
        <v>111</v>
      </c>
      <c r="K5" s="13" t="s">
        <v>158</v>
      </c>
      <c r="L5" s="13" t="s">
        <v>440</v>
      </c>
    </row>
    <row r="6" spans="1:13" s="14" customFormat="1" ht="43.2">
      <c r="A6" s="9">
        <v>2</v>
      </c>
      <c r="B6" s="10" t="s">
        <v>22</v>
      </c>
      <c r="C6" s="10" t="s">
        <v>23</v>
      </c>
      <c r="D6" s="10" t="s">
        <v>27</v>
      </c>
      <c r="E6" s="50" t="s">
        <v>28</v>
      </c>
      <c r="F6" s="50" t="s">
        <v>29</v>
      </c>
      <c r="G6" s="11">
        <v>210</v>
      </c>
      <c r="H6" s="11">
        <v>160</v>
      </c>
      <c r="I6" s="12">
        <f t="shared" si="0"/>
        <v>112</v>
      </c>
      <c r="J6" s="9">
        <v>112</v>
      </c>
      <c r="K6" s="13" t="s">
        <v>158</v>
      </c>
      <c r="L6" s="13" t="s">
        <v>440</v>
      </c>
    </row>
    <row r="7" spans="1:13" s="14" customFormat="1" ht="86.4">
      <c r="A7" s="9">
        <v>3</v>
      </c>
      <c r="B7" s="10" t="s">
        <v>22</v>
      </c>
      <c r="C7" s="10" t="s">
        <v>23</v>
      </c>
      <c r="D7" s="10" t="s">
        <v>30</v>
      </c>
      <c r="E7" s="50" t="s">
        <v>31</v>
      </c>
      <c r="F7" s="50" t="s">
        <v>32</v>
      </c>
      <c r="G7" s="11">
        <v>137</v>
      </c>
      <c r="H7" s="11">
        <v>101</v>
      </c>
      <c r="I7" s="12">
        <f t="shared" si="0"/>
        <v>71</v>
      </c>
      <c r="J7" s="9">
        <v>71</v>
      </c>
      <c r="K7" s="13" t="s">
        <v>158</v>
      </c>
      <c r="L7" s="13" t="s">
        <v>41</v>
      </c>
    </row>
    <row r="8" spans="1:13" s="14" customFormat="1" ht="43.2">
      <c r="A8" s="9">
        <v>4</v>
      </c>
      <c r="B8" s="10" t="s">
        <v>22</v>
      </c>
      <c r="C8" s="15" t="s">
        <v>23</v>
      </c>
      <c r="D8" s="15" t="s">
        <v>60</v>
      </c>
      <c r="E8" s="51" t="s">
        <v>33</v>
      </c>
      <c r="F8" s="51" t="s">
        <v>34</v>
      </c>
      <c r="G8" s="16">
        <v>235</v>
      </c>
      <c r="H8" s="16">
        <v>230</v>
      </c>
      <c r="I8" s="17">
        <f t="shared" si="0"/>
        <v>161</v>
      </c>
      <c r="J8" s="9">
        <v>161</v>
      </c>
      <c r="K8" s="13" t="s">
        <v>158</v>
      </c>
      <c r="L8" s="13" t="s">
        <v>41</v>
      </c>
    </row>
    <row r="9" spans="1:13" s="72" customFormat="1" ht="43.2">
      <c r="A9" s="9">
        <v>5</v>
      </c>
      <c r="B9" s="10" t="s">
        <v>22</v>
      </c>
      <c r="C9" s="10" t="s">
        <v>35</v>
      </c>
      <c r="D9" s="10" t="s">
        <v>36</v>
      </c>
      <c r="E9" s="50" t="s">
        <v>37</v>
      </c>
      <c r="F9" s="50" t="s">
        <v>38</v>
      </c>
      <c r="G9" s="11">
        <v>314</v>
      </c>
      <c r="H9" s="11">
        <v>202</v>
      </c>
      <c r="I9" s="12">
        <f t="shared" si="0"/>
        <v>141</v>
      </c>
      <c r="J9" s="9">
        <v>141</v>
      </c>
      <c r="K9" s="13" t="s">
        <v>158</v>
      </c>
      <c r="L9" s="13" t="s">
        <v>41</v>
      </c>
      <c r="M9" s="71"/>
    </row>
    <row r="10" spans="1:13" s="72" customFormat="1" ht="28.8">
      <c r="A10" s="9">
        <v>6</v>
      </c>
      <c r="B10" s="10" t="s">
        <v>22</v>
      </c>
      <c r="C10" s="10" t="s">
        <v>10</v>
      </c>
      <c r="D10" s="10" t="s">
        <v>39</v>
      </c>
      <c r="E10" s="50" t="s">
        <v>37</v>
      </c>
      <c r="F10" s="50" t="s">
        <v>40</v>
      </c>
      <c r="G10" s="11">
        <v>133</v>
      </c>
      <c r="H10" s="11">
        <v>101</v>
      </c>
      <c r="I10" s="12">
        <f t="shared" si="0"/>
        <v>71</v>
      </c>
      <c r="J10" s="9">
        <v>71</v>
      </c>
      <c r="K10" s="13" t="s">
        <v>158</v>
      </c>
      <c r="L10" s="13" t="s">
        <v>41</v>
      </c>
      <c r="M10" s="71"/>
    </row>
    <row r="11" spans="1:13" s="72" customFormat="1" ht="28.8">
      <c r="A11" s="9">
        <v>7</v>
      </c>
      <c r="B11" s="10" t="s">
        <v>22</v>
      </c>
      <c r="C11" s="9" t="s">
        <v>159</v>
      </c>
      <c r="D11" s="18" t="s">
        <v>160</v>
      </c>
      <c r="E11" s="52" t="s">
        <v>65</v>
      </c>
      <c r="F11" s="52" t="s">
        <v>464</v>
      </c>
      <c r="G11" s="20">
        <v>1198</v>
      </c>
      <c r="H11" s="20">
        <v>955</v>
      </c>
      <c r="I11" s="21">
        <f>197*8*0.2</f>
        <v>315</v>
      </c>
      <c r="J11" s="18">
        <v>315</v>
      </c>
      <c r="K11" s="19" t="s">
        <v>3</v>
      </c>
      <c r="L11" s="9" t="s">
        <v>441</v>
      </c>
      <c r="M11" s="71"/>
    </row>
    <row r="12" spans="1:13" s="14" customFormat="1" ht="43.2">
      <c r="A12" s="9">
        <v>8</v>
      </c>
      <c r="B12" s="10" t="s">
        <v>22</v>
      </c>
      <c r="C12" s="22" t="s">
        <v>35</v>
      </c>
      <c r="D12" s="22" t="s">
        <v>148</v>
      </c>
      <c r="E12" s="53" t="s">
        <v>112</v>
      </c>
      <c r="F12" s="53" t="s">
        <v>118</v>
      </c>
      <c r="G12" s="23">
        <v>355</v>
      </c>
      <c r="H12" s="23">
        <v>184</v>
      </c>
      <c r="I12" s="23">
        <f>H12*0.7</f>
        <v>129</v>
      </c>
      <c r="J12" s="24">
        <v>129</v>
      </c>
      <c r="K12" s="22" t="s">
        <v>119</v>
      </c>
      <c r="L12" s="9" t="s">
        <v>442</v>
      </c>
    </row>
    <row r="13" spans="1:13" s="73" customFormat="1" ht="86.4">
      <c r="A13" s="9">
        <v>9</v>
      </c>
      <c r="B13" s="10" t="s">
        <v>22</v>
      </c>
      <c r="C13" s="13" t="s">
        <v>209</v>
      </c>
      <c r="D13" s="13" t="s">
        <v>210</v>
      </c>
      <c r="E13" s="54" t="s">
        <v>211</v>
      </c>
      <c r="F13" s="55" t="s">
        <v>212</v>
      </c>
      <c r="G13" s="27">
        <v>511</v>
      </c>
      <c r="H13" s="27">
        <v>389</v>
      </c>
      <c r="I13" s="28">
        <f>85*8*0.2</f>
        <v>136</v>
      </c>
      <c r="J13" s="26">
        <v>136</v>
      </c>
      <c r="K13" s="13" t="s">
        <v>119</v>
      </c>
      <c r="L13" s="13" t="s">
        <v>213</v>
      </c>
    </row>
    <row r="14" spans="1:13" s="73" customFormat="1" ht="86.4">
      <c r="A14" s="9">
        <v>10</v>
      </c>
      <c r="B14" s="10" t="s">
        <v>22</v>
      </c>
      <c r="C14" s="13" t="s">
        <v>214</v>
      </c>
      <c r="D14" s="13" t="s">
        <v>215</v>
      </c>
      <c r="E14" s="54" t="s">
        <v>211</v>
      </c>
      <c r="F14" s="55" t="s">
        <v>212</v>
      </c>
      <c r="G14" s="27">
        <v>522</v>
      </c>
      <c r="H14" s="27">
        <v>394</v>
      </c>
      <c r="I14" s="28">
        <f>85*8*0.2</f>
        <v>136</v>
      </c>
      <c r="J14" s="26">
        <v>136</v>
      </c>
      <c r="K14" s="13" t="s">
        <v>119</v>
      </c>
      <c r="L14" s="13" t="s">
        <v>213</v>
      </c>
    </row>
    <row r="15" spans="1:13" s="73" customFormat="1" ht="86.4">
      <c r="A15" s="9">
        <v>11</v>
      </c>
      <c r="B15" s="10" t="s">
        <v>22</v>
      </c>
      <c r="C15" s="13" t="s">
        <v>216</v>
      </c>
      <c r="D15" s="13" t="s">
        <v>217</v>
      </c>
      <c r="E15" s="54" t="s">
        <v>211</v>
      </c>
      <c r="F15" s="55" t="s">
        <v>212</v>
      </c>
      <c r="G15" s="27">
        <v>494</v>
      </c>
      <c r="H15" s="27">
        <v>378</v>
      </c>
      <c r="I15" s="28">
        <f>85*8*0.2</f>
        <v>136</v>
      </c>
      <c r="J15" s="26">
        <v>136</v>
      </c>
      <c r="K15" s="13" t="s">
        <v>119</v>
      </c>
      <c r="L15" s="13" t="s">
        <v>213</v>
      </c>
    </row>
    <row r="16" spans="1:13" s="73" customFormat="1" ht="86.4">
      <c r="A16" s="9">
        <v>12</v>
      </c>
      <c r="B16" s="10" t="s">
        <v>22</v>
      </c>
      <c r="C16" s="13" t="s">
        <v>218</v>
      </c>
      <c r="D16" s="13" t="s">
        <v>219</v>
      </c>
      <c r="E16" s="54" t="s">
        <v>211</v>
      </c>
      <c r="F16" s="55" t="s">
        <v>220</v>
      </c>
      <c r="G16" s="27">
        <v>518</v>
      </c>
      <c r="H16" s="27">
        <v>391</v>
      </c>
      <c r="I16" s="28">
        <f>85*8*0.2</f>
        <v>136</v>
      </c>
      <c r="J16" s="26">
        <v>136</v>
      </c>
      <c r="K16" s="13" t="s">
        <v>119</v>
      </c>
      <c r="L16" s="13" t="s">
        <v>213</v>
      </c>
    </row>
    <row r="17" spans="1:12" s="73" customFormat="1" ht="86.4">
      <c r="A17" s="9">
        <v>13</v>
      </c>
      <c r="B17" s="10" t="s">
        <v>22</v>
      </c>
      <c r="C17" s="13" t="s">
        <v>221</v>
      </c>
      <c r="D17" s="13" t="s">
        <v>222</v>
      </c>
      <c r="E17" s="54" t="s">
        <v>223</v>
      </c>
      <c r="F17" s="55" t="s">
        <v>224</v>
      </c>
      <c r="G17" s="27">
        <v>298</v>
      </c>
      <c r="H17" s="27">
        <v>214</v>
      </c>
      <c r="I17" s="28">
        <f>35*8*0.2</f>
        <v>56</v>
      </c>
      <c r="J17" s="26">
        <v>56</v>
      </c>
      <c r="K17" s="13" t="s">
        <v>119</v>
      </c>
      <c r="L17" s="13" t="s">
        <v>213</v>
      </c>
    </row>
    <row r="18" spans="1:12" s="73" customFormat="1" ht="86.4">
      <c r="A18" s="9">
        <v>14</v>
      </c>
      <c r="B18" s="10" t="s">
        <v>22</v>
      </c>
      <c r="C18" s="13" t="s">
        <v>225</v>
      </c>
      <c r="D18" s="13" t="s">
        <v>226</v>
      </c>
      <c r="E18" s="54" t="s">
        <v>211</v>
      </c>
      <c r="F18" s="55" t="s">
        <v>227</v>
      </c>
      <c r="G18" s="27">
        <v>457</v>
      </c>
      <c r="H18" s="27">
        <v>324</v>
      </c>
      <c r="I18" s="28">
        <f>69*8*0.2</f>
        <v>110</v>
      </c>
      <c r="J18" s="26">
        <v>110</v>
      </c>
      <c r="K18" s="13" t="s">
        <v>119</v>
      </c>
      <c r="L18" s="13" t="s">
        <v>213</v>
      </c>
    </row>
    <row r="19" spans="1:12" s="74" customFormat="1" ht="86.4">
      <c r="A19" s="9">
        <v>15</v>
      </c>
      <c r="B19" s="10" t="s">
        <v>22</v>
      </c>
      <c r="C19" s="19" t="s">
        <v>228</v>
      </c>
      <c r="D19" s="19" t="s">
        <v>229</v>
      </c>
      <c r="E19" s="56" t="s">
        <v>230</v>
      </c>
      <c r="F19" s="52" t="s">
        <v>231</v>
      </c>
      <c r="G19" s="20">
        <v>320</v>
      </c>
      <c r="H19" s="29">
        <v>228</v>
      </c>
      <c r="I19" s="30">
        <f>44*8*0.2</f>
        <v>70</v>
      </c>
      <c r="J19" s="26">
        <v>70</v>
      </c>
      <c r="K19" s="19" t="s">
        <v>119</v>
      </c>
      <c r="L19" s="19" t="s">
        <v>213</v>
      </c>
    </row>
    <row r="20" spans="1:12" s="73" customFormat="1" ht="72">
      <c r="A20" s="9">
        <v>16</v>
      </c>
      <c r="B20" s="10" t="s">
        <v>22</v>
      </c>
      <c r="C20" s="13" t="s">
        <v>232</v>
      </c>
      <c r="D20" s="13" t="s">
        <v>233</v>
      </c>
      <c r="E20" s="54" t="s">
        <v>234</v>
      </c>
      <c r="F20" s="55" t="s">
        <v>235</v>
      </c>
      <c r="G20" s="27">
        <v>136</v>
      </c>
      <c r="H20" s="27">
        <v>116</v>
      </c>
      <c r="I20" s="28">
        <f>30.46*7.5*0.2</f>
        <v>46</v>
      </c>
      <c r="J20" s="26">
        <v>46</v>
      </c>
      <c r="K20" s="13" t="s">
        <v>119</v>
      </c>
      <c r="L20" s="13" t="s">
        <v>213</v>
      </c>
    </row>
    <row r="21" spans="1:12" s="73" customFormat="1" ht="72">
      <c r="A21" s="9">
        <v>17</v>
      </c>
      <c r="B21" s="10" t="s">
        <v>22</v>
      </c>
      <c r="C21" s="13" t="s">
        <v>236</v>
      </c>
      <c r="D21" s="13" t="s">
        <v>237</v>
      </c>
      <c r="E21" s="54" t="s">
        <v>238</v>
      </c>
      <c r="F21" s="55" t="s">
        <v>239</v>
      </c>
      <c r="G21" s="27">
        <v>388</v>
      </c>
      <c r="H21" s="27">
        <v>338</v>
      </c>
      <c r="I21" s="28">
        <f>85.06*7.5*0.2</f>
        <v>128</v>
      </c>
      <c r="J21" s="26">
        <v>128</v>
      </c>
      <c r="K21" s="13" t="s">
        <v>119</v>
      </c>
      <c r="L21" s="13" t="s">
        <v>213</v>
      </c>
    </row>
    <row r="22" spans="1:12" s="73" customFormat="1" ht="72">
      <c r="A22" s="9">
        <v>18</v>
      </c>
      <c r="B22" s="10" t="s">
        <v>22</v>
      </c>
      <c r="C22" s="13" t="s">
        <v>240</v>
      </c>
      <c r="D22" s="13" t="s">
        <v>241</v>
      </c>
      <c r="E22" s="54" t="s">
        <v>238</v>
      </c>
      <c r="F22" s="55" t="s">
        <v>242</v>
      </c>
      <c r="G22" s="27">
        <v>222</v>
      </c>
      <c r="H22" s="27">
        <v>193</v>
      </c>
      <c r="I22" s="28">
        <f>37.06*7.5*0.2</f>
        <v>56</v>
      </c>
      <c r="J22" s="26">
        <v>56</v>
      </c>
      <c r="K22" s="13" t="s">
        <v>119</v>
      </c>
      <c r="L22" s="13" t="s">
        <v>213</v>
      </c>
    </row>
    <row r="23" spans="1:12" s="73" customFormat="1" ht="72">
      <c r="A23" s="9">
        <v>19</v>
      </c>
      <c r="B23" s="10" t="s">
        <v>22</v>
      </c>
      <c r="C23" s="13" t="s">
        <v>243</v>
      </c>
      <c r="D23" s="13" t="s">
        <v>244</v>
      </c>
      <c r="E23" s="54" t="s">
        <v>245</v>
      </c>
      <c r="F23" s="55" t="s">
        <v>246</v>
      </c>
      <c r="G23" s="27">
        <v>220</v>
      </c>
      <c r="H23" s="27">
        <v>192</v>
      </c>
      <c r="I23" s="28">
        <f>37.06*7.5*0.2</f>
        <v>56</v>
      </c>
      <c r="J23" s="26">
        <v>56</v>
      </c>
      <c r="K23" s="13" t="s">
        <v>119</v>
      </c>
      <c r="L23" s="13" t="s">
        <v>213</v>
      </c>
    </row>
    <row r="24" spans="1:12" s="73" customFormat="1" ht="72">
      <c r="A24" s="9">
        <v>20</v>
      </c>
      <c r="B24" s="10" t="s">
        <v>22</v>
      </c>
      <c r="C24" s="13" t="s">
        <v>247</v>
      </c>
      <c r="D24" s="13" t="s">
        <v>248</v>
      </c>
      <c r="E24" s="54" t="s">
        <v>249</v>
      </c>
      <c r="F24" s="55" t="s">
        <v>250</v>
      </c>
      <c r="G24" s="27">
        <v>120</v>
      </c>
      <c r="H24" s="27">
        <v>101</v>
      </c>
      <c r="I24" s="28">
        <f>22.06*7.5*0.2</f>
        <v>33</v>
      </c>
      <c r="J24" s="26">
        <v>33</v>
      </c>
      <c r="K24" s="13" t="s">
        <v>119</v>
      </c>
      <c r="L24" s="13" t="s">
        <v>213</v>
      </c>
    </row>
    <row r="25" spans="1:12" s="73" customFormat="1" ht="72">
      <c r="A25" s="9">
        <v>21</v>
      </c>
      <c r="B25" s="10" t="s">
        <v>22</v>
      </c>
      <c r="C25" s="13" t="s">
        <v>251</v>
      </c>
      <c r="D25" s="13" t="s">
        <v>252</v>
      </c>
      <c r="E25" s="54" t="s">
        <v>253</v>
      </c>
      <c r="F25" s="55" t="s">
        <v>254</v>
      </c>
      <c r="G25" s="27">
        <v>210</v>
      </c>
      <c r="H25" s="27">
        <v>183</v>
      </c>
      <c r="I25" s="28">
        <f>53*6.5*0.2</f>
        <v>69</v>
      </c>
      <c r="J25" s="26">
        <v>69</v>
      </c>
      <c r="K25" s="13" t="s">
        <v>255</v>
      </c>
      <c r="L25" s="13" t="s">
        <v>256</v>
      </c>
    </row>
    <row r="26" spans="1:12" s="73" customFormat="1" ht="72">
      <c r="A26" s="9">
        <v>22</v>
      </c>
      <c r="B26" s="10" t="s">
        <v>22</v>
      </c>
      <c r="C26" s="13" t="s">
        <v>257</v>
      </c>
      <c r="D26" s="13" t="s">
        <v>258</v>
      </c>
      <c r="E26" s="54" t="s">
        <v>259</v>
      </c>
      <c r="F26" s="55" t="s">
        <v>260</v>
      </c>
      <c r="G26" s="27">
        <v>478</v>
      </c>
      <c r="H26" s="27">
        <v>344</v>
      </c>
      <c r="I26" s="28">
        <f>85*7*0.2</f>
        <v>119</v>
      </c>
      <c r="J26" s="26">
        <v>119</v>
      </c>
      <c r="K26" s="13" t="s">
        <v>255</v>
      </c>
      <c r="L26" s="13" t="s">
        <v>261</v>
      </c>
    </row>
    <row r="27" spans="1:12" s="75" customFormat="1" ht="24.6" customHeight="1">
      <c r="A27" s="91" t="s">
        <v>405</v>
      </c>
      <c r="B27" s="92"/>
      <c r="C27" s="93"/>
      <c r="D27" s="31"/>
      <c r="E27" s="57"/>
      <c r="F27" s="57"/>
      <c r="G27" s="32">
        <f>SUM(G28:G42)</f>
        <v>1827</v>
      </c>
      <c r="H27" s="32">
        <f t="shared" ref="H27:J27" si="1">SUM(H28:H42)</f>
        <v>1436</v>
      </c>
      <c r="I27" s="32">
        <f t="shared" si="1"/>
        <v>946</v>
      </c>
      <c r="J27" s="31">
        <f t="shared" si="1"/>
        <v>946</v>
      </c>
      <c r="K27" s="31"/>
      <c r="L27" s="33"/>
    </row>
    <row r="28" spans="1:12" s="14" customFormat="1" ht="28.8">
      <c r="A28" s="34">
        <v>23</v>
      </c>
      <c r="B28" s="25" t="s">
        <v>399</v>
      </c>
      <c r="C28" s="25" t="s">
        <v>73</v>
      </c>
      <c r="D28" s="25" t="s">
        <v>74</v>
      </c>
      <c r="E28" s="58" t="s">
        <v>75</v>
      </c>
      <c r="F28" s="58" t="s">
        <v>76</v>
      </c>
      <c r="G28" s="35">
        <v>137</v>
      </c>
      <c r="H28" s="35">
        <v>103</v>
      </c>
      <c r="I28" s="35">
        <v>72</v>
      </c>
      <c r="J28" s="24">
        <v>72</v>
      </c>
      <c r="K28" s="24" t="s">
        <v>77</v>
      </c>
      <c r="L28" s="13" t="s">
        <v>443</v>
      </c>
    </row>
    <row r="29" spans="1:12" s="76" customFormat="1" ht="28.8">
      <c r="A29" s="9">
        <v>24</v>
      </c>
      <c r="B29" s="10" t="s">
        <v>42</v>
      </c>
      <c r="C29" s="10" t="s">
        <v>43</v>
      </c>
      <c r="D29" s="10" t="s">
        <v>44</v>
      </c>
      <c r="E29" s="50" t="s">
        <v>45</v>
      </c>
      <c r="F29" s="50" t="s">
        <v>46</v>
      </c>
      <c r="G29" s="11">
        <v>256</v>
      </c>
      <c r="H29" s="11">
        <v>211</v>
      </c>
      <c r="I29" s="12">
        <f>H29*0.7</f>
        <v>148</v>
      </c>
      <c r="J29" s="9">
        <v>148</v>
      </c>
      <c r="K29" s="10" t="s">
        <v>438</v>
      </c>
      <c r="L29" s="13" t="s">
        <v>444</v>
      </c>
    </row>
    <row r="30" spans="1:12" s="14" customFormat="1" ht="43.2">
      <c r="A30" s="34">
        <v>25</v>
      </c>
      <c r="B30" s="10" t="s">
        <v>42</v>
      </c>
      <c r="C30" s="22" t="s">
        <v>126</v>
      </c>
      <c r="D30" s="22" t="s">
        <v>127</v>
      </c>
      <c r="E30" s="53" t="s">
        <v>122</v>
      </c>
      <c r="F30" s="55" t="s">
        <v>128</v>
      </c>
      <c r="G30" s="23">
        <v>192</v>
      </c>
      <c r="H30" s="23">
        <v>149</v>
      </c>
      <c r="I30" s="23">
        <f>H30*0.7</f>
        <v>104</v>
      </c>
      <c r="J30" s="24">
        <v>104</v>
      </c>
      <c r="K30" s="24" t="s">
        <v>129</v>
      </c>
      <c r="L30" s="13" t="s">
        <v>445</v>
      </c>
    </row>
    <row r="31" spans="1:12" s="14" customFormat="1" ht="43.2">
      <c r="A31" s="9">
        <v>26</v>
      </c>
      <c r="B31" s="10" t="s">
        <v>42</v>
      </c>
      <c r="C31" s="22" t="s">
        <v>73</v>
      </c>
      <c r="D31" s="22" t="s">
        <v>130</v>
      </c>
      <c r="E31" s="53" t="s">
        <v>122</v>
      </c>
      <c r="F31" s="55" t="s">
        <v>131</v>
      </c>
      <c r="G31" s="23">
        <v>219</v>
      </c>
      <c r="H31" s="23">
        <v>129</v>
      </c>
      <c r="I31" s="23">
        <f>H31*0.7</f>
        <v>90</v>
      </c>
      <c r="J31" s="24">
        <v>90</v>
      </c>
      <c r="K31" s="24" t="s">
        <v>129</v>
      </c>
      <c r="L31" s="13" t="s">
        <v>446</v>
      </c>
    </row>
    <row r="32" spans="1:12" s="14" customFormat="1" ht="43.2">
      <c r="A32" s="34">
        <v>27</v>
      </c>
      <c r="B32" s="22" t="s">
        <v>42</v>
      </c>
      <c r="C32" s="22" t="s">
        <v>136</v>
      </c>
      <c r="D32" s="22" t="s">
        <v>137</v>
      </c>
      <c r="E32" s="53" t="s">
        <v>112</v>
      </c>
      <c r="F32" s="55" t="s">
        <v>138</v>
      </c>
      <c r="G32" s="23">
        <v>180</v>
      </c>
      <c r="H32" s="23">
        <v>124</v>
      </c>
      <c r="I32" s="23">
        <f>H32*0.7</f>
        <v>87</v>
      </c>
      <c r="J32" s="24">
        <v>87</v>
      </c>
      <c r="K32" s="24" t="s">
        <v>139</v>
      </c>
      <c r="L32" s="13" t="s">
        <v>447</v>
      </c>
    </row>
    <row r="33" spans="1:12" s="73" customFormat="1" ht="28.8">
      <c r="A33" s="9">
        <v>28</v>
      </c>
      <c r="B33" s="26" t="s">
        <v>164</v>
      </c>
      <c r="C33" s="13" t="s">
        <v>165</v>
      </c>
      <c r="D33" s="13" t="s">
        <v>166</v>
      </c>
      <c r="E33" s="54" t="s">
        <v>167</v>
      </c>
      <c r="F33" s="55" t="s">
        <v>168</v>
      </c>
      <c r="G33" s="27">
        <v>152</v>
      </c>
      <c r="H33" s="27">
        <v>127</v>
      </c>
      <c r="I33" s="28">
        <f>88.74*6*0.2</f>
        <v>106</v>
      </c>
      <c r="J33" s="26">
        <v>106</v>
      </c>
      <c r="K33" s="13" t="s">
        <v>430</v>
      </c>
      <c r="L33" s="13" t="s">
        <v>169</v>
      </c>
    </row>
    <row r="34" spans="1:12" s="74" customFormat="1" ht="43.2">
      <c r="A34" s="34">
        <v>29</v>
      </c>
      <c r="B34" s="81" t="s">
        <v>164</v>
      </c>
      <c r="C34" s="19" t="s">
        <v>170</v>
      </c>
      <c r="D34" s="19" t="s">
        <v>171</v>
      </c>
      <c r="E34" s="56" t="s">
        <v>172</v>
      </c>
      <c r="F34" s="52" t="s">
        <v>173</v>
      </c>
      <c r="G34" s="20">
        <v>41</v>
      </c>
      <c r="H34" s="20">
        <v>36</v>
      </c>
      <c r="I34" s="30">
        <f>30.64*4.5*0.2</f>
        <v>28</v>
      </c>
      <c r="J34" s="81">
        <v>28</v>
      </c>
      <c r="K34" s="19" t="s">
        <v>431</v>
      </c>
      <c r="L34" s="19" t="s">
        <v>174</v>
      </c>
    </row>
    <row r="35" spans="1:12" s="74" customFormat="1" ht="28.8">
      <c r="A35" s="9">
        <v>30</v>
      </c>
      <c r="B35" s="81" t="s">
        <v>164</v>
      </c>
      <c r="C35" s="19" t="s">
        <v>175</v>
      </c>
      <c r="D35" s="19" t="s">
        <v>176</v>
      </c>
      <c r="E35" s="56" t="s">
        <v>172</v>
      </c>
      <c r="F35" s="52" t="s">
        <v>177</v>
      </c>
      <c r="G35" s="20">
        <v>108</v>
      </c>
      <c r="H35" s="20">
        <v>90</v>
      </c>
      <c r="I35" s="30">
        <f>30*7.5*0.2</f>
        <v>45</v>
      </c>
      <c r="J35" s="81">
        <v>45</v>
      </c>
      <c r="K35" s="19" t="s">
        <v>431</v>
      </c>
      <c r="L35" s="19" t="s">
        <v>178</v>
      </c>
    </row>
    <row r="36" spans="1:12" s="74" customFormat="1" ht="28.8">
      <c r="A36" s="34">
        <v>31</v>
      </c>
      <c r="B36" s="81" t="s">
        <v>164</v>
      </c>
      <c r="C36" s="19" t="s">
        <v>179</v>
      </c>
      <c r="D36" s="19" t="s">
        <v>180</v>
      </c>
      <c r="E36" s="56" t="s">
        <v>181</v>
      </c>
      <c r="F36" s="52" t="s">
        <v>182</v>
      </c>
      <c r="G36" s="20">
        <v>58</v>
      </c>
      <c r="H36" s="20">
        <v>54</v>
      </c>
      <c r="I36" s="30">
        <f>30*4.5*0.2</f>
        <v>27</v>
      </c>
      <c r="J36" s="81">
        <v>27</v>
      </c>
      <c r="K36" s="19" t="s">
        <v>431</v>
      </c>
      <c r="L36" s="19" t="s">
        <v>183</v>
      </c>
    </row>
    <row r="37" spans="1:12" s="73" customFormat="1" ht="28.8">
      <c r="A37" s="9">
        <v>32</v>
      </c>
      <c r="B37" s="26" t="s">
        <v>164</v>
      </c>
      <c r="C37" s="13" t="s">
        <v>184</v>
      </c>
      <c r="D37" s="13" t="s">
        <v>185</v>
      </c>
      <c r="E37" s="54" t="s">
        <v>186</v>
      </c>
      <c r="F37" s="55" t="s">
        <v>187</v>
      </c>
      <c r="G37" s="27">
        <v>87</v>
      </c>
      <c r="H37" s="27">
        <v>81</v>
      </c>
      <c r="I37" s="28">
        <v>41</v>
      </c>
      <c r="J37" s="26">
        <v>41</v>
      </c>
      <c r="K37" s="13" t="s">
        <v>431</v>
      </c>
      <c r="L37" s="13" t="s">
        <v>188</v>
      </c>
    </row>
    <row r="38" spans="1:12" s="73" customFormat="1" ht="28.8">
      <c r="A38" s="34">
        <v>33</v>
      </c>
      <c r="B38" s="26" t="s">
        <v>164</v>
      </c>
      <c r="C38" s="13" t="s">
        <v>189</v>
      </c>
      <c r="D38" s="13" t="s">
        <v>190</v>
      </c>
      <c r="E38" s="54" t="s">
        <v>191</v>
      </c>
      <c r="F38" s="55" t="s">
        <v>192</v>
      </c>
      <c r="G38" s="27">
        <v>65</v>
      </c>
      <c r="H38" s="27">
        <v>60</v>
      </c>
      <c r="I38" s="28">
        <f>46.74*4.5*0.2</f>
        <v>42</v>
      </c>
      <c r="J38" s="26">
        <v>42</v>
      </c>
      <c r="K38" s="13" t="s">
        <v>432</v>
      </c>
      <c r="L38" s="13" t="s">
        <v>193</v>
      </c>
    </row>
    <row r="39" spans="1:12" s="77" customFormat="1" ht="28.8">
      <c r="A39" s="9">
        <v>34</v>
      </c>
      <c r="B39" s="26" t="s">
        <v>164</v>
      </c>
      <c r="C39" s="26" t="s">
        <v>194</v>
      </c>
      <c r="D39" s="26" t="s">
        <v>195</v>
      </c>
      <c r="E39" s="54" t="s">
        <v>196</v>
      </c>
      <c r="F39" s="54" t="s">
        <v>197</v>
      </c>
      <c r="G39" s="28">
        <v>34</v>
      </c>
      <c r="H39" s="28">
        <v>28</v>
      </c>
      <c r="I39" s="28">
        <f>23.74*4.5*0.2</f>
        <v>21</v>
      </c>
      <c r="J39" s="26">
        <v>21</v>
      </c>
      <c r="K39" s="26" t="s">
        <v>433</v>
      </c>
      <c r="L39" s="26" t="s">
        <v>415</v>
      </c>
    </row>
    <row r="40" spans="1:12" s="77" customFormat="1" ht="28.8">
      <c r="A40" s="34">
        <v>35</v>
      </c>
      <c r="B40" s="26" t="s">
        <v>164</v>
      </c>
      <c r="C40" s="26" t="s">
        <v>198</v>
      </c>
      <c r="D40" s="26" t="s">
        <v>199</v>
      </c>
      <c r="E40" s="54" t="s">
        <v>196</v>
      </c>
      <c r="F40" s="54" t="s">
        <v>200</v>
      </c>
      <c r="G40" s="28">
        <v>27</v>
      </c>
      <c r="H40" s="28">
        <v>23</v>
      </c>
      <c r="I40" s="28">
        <f>18.74*4.5*0.2</f>
        <v>17</v>
      </c>
      <c r="J40" s="26">
        <v>17</v>
      </c>
      <c r="K40" s="26" t="s">
        <v>433</v>
      </c>
      <c r="L40" s="26" t="s">
        <v>416</v>
      </c>
    </row>
    <row r="41" spans="1:12" s="73" customFormat="1" ht="28.8">
      <c r="A41" s="9">
        <v>36</v>
      </c>
      <c r="B41" s="26" t="s">
        <v>164</v>
      </c>
      <c r="C41" s="13" t="s">
        <v>201</v>
      </c>
      <c r="D41" s="13" t="s">
        <v>202</v>
      </c>
      <c r="E41" s="54" t="s">
        <v>191</v>
      </c>
      <c r="F41" s="55" t="s">
        <v>203</v>
      </c>
      <c r="G41" s="27">
        <v>190</v>
      </c>
      <c r="H41" s="27">
        <v>157</v>
      </c>
      <c r="I41" s="28">
        <f>70.84*6*0.2</f>
        <v>85</v>
      </c>
      <c r="J41" s="26">
        <v>85</v>
      </c>
      <c r="K41" s="26" t="s">
        <v>433</v>
      </c>
      <c r="L41" s="13" t="s">
        <v>417</v>
      </c>
    </row>
    <row r="42" spans="1:12" s="73" customFormat="1" ht="28.8">
      <c r="A42" s="34">
        <v>37</v>
      </c>
      <c r="B42" s="26" t="s">
        <v>164</v>
      </c>
      <c r="C42" s="3" t="s">
        <v>204</v>
      </c>
      <c r="D42" s="26" t="s">
        <v>205</v>
      </c>
      <c r="E42" s="59" t="s">
        <v>206</v>
      </c>
      <c r="F42" s="55" t="s">
        <v>207</v>
      </c>
      <c r="G42" s="4">
        <v>81</v>
      </c>
      <c r="H42" s="4">
        <v>64</v>
      </c>
      <c r="I42" s="28">
        <f>37.04*4.5*0.2</f>
        <v>33</v>
      </c>
      <c r="J42" s="26">
        <v>33</v>
      </c>
      <c r="K42" s="13" t="s">
        <v>434</v>
      </c>
      <c r="L42" s="13" t="s">
        <v>208</v>
      </c>
    </row>
    <row r="43" spans="1:12" s="75" customFormat="1" ht="24.6" customHeight="1">
      <c r="A43" s="94" t="s">
        <v>406</v>
      </c>
      <c r="B43" s="95"/>
      <c r="C43" s="96"/>
      <c r="D43" s="31"/>
      <c r="E43" s="57"/>
      <c r="F43" s="60"/>
      <c r="G43" s="32">
        <f>SUM(G44:G45)</f>
        <v>321</v>
      </c>
      <c r="H43" s="32">
        <f t="shared" ref="H43:J43" si="2">SUM(H44:H45)</f>
        <v>210</v>
      </c>
      <c r="I43" s="32">
        <f t="shared" si="2"/>
        <v>147</v>
      </c>
      <c r="J43" s="32">
        <f t="shared" si="2"/>
        <v>147</v>
      </c>
      <c r="K43" s="33"/>
      <c r="L43" s="33"/>
    </row>
    <row r="44" spans="1:12" s="76" customFormat="1" ht="28.8">
      <c r="A44" s="9">
        <v>38</v>
      </c>
      <c r="B44" s="10" t="s">
        <v>47</v>
      </c>
      <c r="C44" s="10" t="s">
        <v>48</v>
      </c>
      <c r="D44" s="10" t="s">
        <v>49</v>
      </c>
      <c r="E44" s="50" t="s">
        <v>50</v>
      </c>
      <c r="F44" s="50" t="s">
        <v>51</v>
      </c>
      <c r="G44" s="11">
        <v>152</v>
      </c>
      <c r="H44" s="11">
        <v>106</v>
      </c>
      <c r="I44" s="12">
        <f>H44*0.7</f>
        <v>74</v>
      </c>
      <c r="J44" s="9">
        <v>74</v>
      </c>
      <c r="K44" s="10" t="s">
        <v>156</v>
      </c>
      <c r="L44" s="13" t="s">
        <v>448</v>
      </c>
    </row>
    <row r="45" spans="1:12" s="76" customFormat="1" ht="28.8">
      <c r="A45" s="9">
        <v>39</v>
      </c>
      <c r="B45" s="10" t="s">
        <v>47</v>
      </c>
      <c r="C45" s="10" t="s">
        <v>9</v>
      </c>
      <c r="D45" s="10" t="s">
        <v>52</v>
      </c>
      <c r="E45" s="50" t="s">
        <v>53</v>
      </c>
      <c r="F45" s="50" t="s">
        <v>54</v>
      </c>
      <c r="G45" s="11">
        <v>169</v>
      </c>
      <c r="H45" s="11">
        <v>104</v>
      </c>
      <c r="I45" s="12">
        <f>H45*0.7</f>
        <v>73</v>
      </c>
      <c r="J45" s="9">
        <v>73</v>
      </c>
      <c r="K45" s="10" t="s">
        <v>157</v>
      </c>
      <c r="L45" s="13" t="s">
        <v>448</v>
      </c>
    </row>
    <row r="46" spans="1:12" s="78" customFormat="1" ht="24.6" customHeight="1">
      <c r="A46" s="91" t="s">
        <v>407</v>
      </c>
      <c r="B46" s="92"/>
      <c r="C46" s="93"/>
      <c r="D46" s="46"/>
      <c r="E46" s="61"/>
      <c r="F46" s="61"/>
      <c r="G46" s="47">
        <f>SUM(G47:G63)</f>
        <v>2953</v>
      </c>
      <c r="H46" s="47">
        <f>SUM(H47:H63)</f>
        <v>2356</v>
      </c>
      <c r="I46" s="47">
        <f>SUM(I47:I63)</f>
        <v>1389</v>
      </c>
      <c r="J46" s="47">
        <f>SUM(J47:J63)</f>
        <v>1389</v>
      </c>
      <c r="K46" s="46"/>
      <c r="L46" s="36"/>
    </row>
    <row r="47" spans="1:12" s="79" customFormat="1" ht="43.2">
      <c r="A47" s="37">
        <v>40</v>
      </c>
      <c r="B47" s="38" t="s">
        <v>133</v>
      </c>
      <c r="C47" s="38" t="s">
        <v>161</v>
      </c>
      <c r="D47" s="38" t="s">
        <v>162</v>
      </c>
      <c r="E47" s="62" t="s">
        <v>428</v>
      </c>
      <c r="F47" s="54" t="s">
        <v>163</v>
      </c>
      <c r="G47" s="39">
        <v>399</v>
      </c>
      <c r="H47" s="39">
        <v>325</v>
      </c>
      <c r="I47" s="39">
        <v>98</v>
      </c>
      <c r="J47" s="40">
        <v>98</v>
      </c>
      <c r="K47" s="40" t="s">
        <v>125</v>
      </c>
      <c r="L47" s="40" t="s">
        <v>418</v>
      </c>
    </row>
    <row r="48" spans="1:12" s="14" customFormat="1" ht="57.6">
      <c r="A48" s="9">
        <v>41</v>
      </c>
      <c r="B48" s="13" t="s">
        <v>133</v>
      </c>
      <c r="C48" s="13" t="s">
        <v>437</v>
      </c>
      <c r="D48" s="13" t="s">
        <v>152</v>
      </c>
      <c r="E48" s="55" t="s">
        <v>2</v>
      </c>
      <c r="F48" s="55" t="s">
        <v>134</v>
      </c>
      <c r="G48" s="27">
        <v>143</v>
      </c>
      <c r="H48" s="23">
        <v>110</v>
      </c>
      <c r="I48" s="23">
        <f t="shared" ref="I48:I53" si="3">H48*0.7</f>
        <v>77</v>
      </c>
      <c r="J48" s="24">
        <v>77</v>
      </c>
      <c r="K48" s="22" t="s">
        <v>135</v>
      </c>
      <c r="L48" s="13" t="s">
        <v>449</v>
      </c>
    </row>
    <row r="49" spans="1:12" s="76" customFormat="1" ht="28.8">
      <c r="A49" s="37">
        <v>42</v>
      </c>
      <c r="B49" s="10" t="s">
        <v>1</v>
      </c>
      <c r="C49" s="10" t="s">
        <v>11</v>
      </c>
      <c r="D49" s="10" t="s">
        <v>55</v>
      </c>
      <c r="E49" s="50" t="s">
        <v>56</v>
      </c>
      <c r="F49" s="50" t="s">
        <v>57</v>
      </c>
      <c r="G49" s="11">
        <v>167</v>
      </c>
      <c r="H49" s="11">
        <v>114</v>
      </c>
      <c r="I49" s="12">
        <f t="shared" si="3"/>
        <v>80</v>
      </c>
      <c r="J49" s="9">
        <v>80</v>
      </c>
      <c r="K49" s="10" t="s">
        <v>435</v>
      </c>
      <c r="L49" s="13" t="s">
        <v>450</v>
      </c>
    </row>
    <row r="50" spans="1:12" s="76" customFormat="1" ht="28.8">
      <c r="A50" s="9">
        <v>43</v>
      </c>
      <c r="B50" s="10" t="s">
        <v>1</v>
      </c>
      <c r="C50" s="10" t="s">
        <v>10</v>
      </c>
      <c r="D50" s="10" t="s">
        <v>58</v>
      </c>
      <c r="E50" s="50" t="s">
        <v>56</v>
      </c>
      <c r="F50" s="50" t="s">
        <v>59</v>
      </c>
      <c r="G50" s="11">
        <v>164</v>
      </c>
      <c r="H50" s="11">
        <v>121</v>
      </c>
      <c r="I50" s="12">
        <f t="shared" si="3"/>
        <v>85</v>
      </c>
      <c r="J50" s="9">
        <v>85</v>
      </c>
      <c r="K50" s="10" t="s">
        <v>435</v>
      </c>
      <c r="L50" s="13" t="s">
        <v>450</v>
      </c>
    </row>
    <row r="51" spans="1:12" s="80" customFormat="1" ht="28.8">
      <c r="A51" s="37">
        <v>44</v>
      </c>
      <c r="B51" s="82" t="s">
        <v>1</v>
      </c>
      <c r="C51" s="41" t="s">
        <v>11</v>
      </c>
      <c r="D51" s="41" t="s">
        <v>151</v>
      </c>
      <c r="E51" s="63" t="s">
        <v>122</v>
      </c>
      <c r="F51" s="52" t="s">
        <v>142</v>
      </c>
      <c r="G51" s="42">
        <v>221</v>
      </c>
      <c r="H51" s="42">
        <v>169</v>
      </c>
      <c r="I51" s="42">
        <f t="shared" si="3"/>
        <v>118</v>
      </c>
      <c r="J51" s="43">
        <v>118</v>
      </c>
      <c r="K51" s="43" t="s">
        <v>141</v>
      </c>
      <c r="L51" s="19" t="s">
        <v>451</v>
      </c>
    </row>
    <row r="52" spans="1:12" s="80" customFormat="1" ht="28.8">
      <c r="A52" s="9">
        <v>45</v>
      </c>
      <c r="B52" s="10" t="s">
        <v>1</v>
      </c>
      <c r="C52" s="41" t="s">
        <v>143</v>
      </c>
      <c r="D52" s="41" t="s">
        <v>150</v>
      </c>
      <c r="E52" s="63" t="s">
        <v>122</v>
      </c>
      <c r="F52" s="52" t="s">
        <v>140</v>
      </c>
      <c r="G52" s="42">
        <v>233</v>
      </c>
      <c r="H52" s="42">
        <v>168</v>
      </c>
      <c r="I52" s="42">
        <f t="shared" si="3"/>
        <v>118</v>
      </c>
      <c r="J52" s="43">
        <v>118</v>
      </c>
      <c r="K52" s="43" t="s">
        <v>141</v>
      </c>
      <c r="L52" s="13" t="s">
        <v>452</v>
      </c>
    </row>
    <row r="53" spans="1:12" s="80" customFormat="1" ht="28.8">
      <c r="A53" s="37">
        <v>46</v>
      </c>
      <c r="B53" s="10" t="s">
        <v>1</v>
      </c>
      <c r="C53" s="41" t="s">
        <v>143</v>
      </c>
      <c r="D53" s="41" t="s">
        <v>149</v>
      </c>
      <c r="E53" s="63" t="s">
        <v>122</v>
      </c>
      <c r="F53" s="64" t="s">
        <v>140</v>
      </c>
      <c r="G53" s="42">
        <v>518</v>
      </c>
      <c r="H53" s="42">
        <v>400</v>
      </c>
      <c r="I53" s="42">
        <f t="shared" si="3"/>
        <v>280</v>
      </c>
      <c r="J53" s="43">
        <v>280</v>
      </c>
      <c r="K53" s="43" t="s">
        <v>141</v>
      </c>
      <c r="L53" s="13" t="s">
        <v>452</v>
      </c>
    </row>
    <row r="54" spans="1:12" s="73" customFormat="1" ht="28.8">
      <c r="A54" s="9">
        <v>47</v>
      </c>
      <c r="B54" s="10" t="s">
        <v>1</v>
      </c>
      <c r="C54" s="13" t="s">
        <v>347</v>
      </c>
      <c r="D54" s="13" t="s">
        <v>348</v>
      </c>
      <c r="E54" s="54" t="s">
        <v>349</v>
      </c>
      <c r="F54" s="55" t="s">
        <v>350</v>
      </c>
      <c r="G54" s="27">
        <v>65</v>
      </c>
      <c r="H54" s="27">
        <v>59</v>
      </c>
      <c r="I54" s="28">
        <f>22*7*0.2</f>
        <v>31</v>
      </c>
      <c r="J54" s="26">
        <v>31</v>
      </c>
      <c r="K54" s="13" t="s">
        <v>351</v>
      </c>
      <c r="L54" s="13" t="s">
        <v>352</v>
      </c>
    </row>
    <row r="55" spans="1:12" s="73" customFormat="1" ht="28.8">
      <c r="A55" s="37">
        <v>48</v>
      </c>
      <c r="B55" s="10" t="s">
        <v>1</v>
      </c>
      <c r="C55" s="13" t="s">
        <v>353</v>
      </c>
      <c r="D55" s="13" t="s">
        <v>354</v>
      </c>
      <c r="E55" s="54" t="s">
        <v>349</v>
      </c>
      <c r="F55" s="55" t="s">
        <v>355</v>
      </c>
      <c r="G55" s="27">
        <v>72</v>
      </c>
      <c r="H55" s="27">
        <v>65</v>
      </c>
      <c r="I55" s="28">
        <f>31*5.5*0.2</f>
        <v>34</v>
      </c>
      <c r="J55" s="26">
        <v>34</v>
      </c>
      <c r="K55" s="13" t="s">
        <v>351</v>
      </c>
      <c r="L55" s="13" t="s">
        <v>356</v>
      </c>
    </row>
    <row r="56" spans="1:12" s="73" customFormat="1" ht="57.6">
      <c r="A56" s="9">
        <v>49</v>
      </c>
      <c r="B56" s="10" t="s">
        <v>1</v>
      </c>
      <c r="C56" s="13" t="s">
        <v>357</v>
      </c>
      <c r="D56" s="13" t="s">
        <v>358</v>
      </c>
      <c r="E56" s="54" t="s">
        <v>359</v>
      </c>
      <c r="F56" s="55" t="s">
        <v>360</v>
      </c>
      <c r="G56" s="27">
        <v>34</v>
      </c>
      <c r="H56" s="27">
        <v>27</v>
      </c>
      <c r="I56" s="28">
        <f>16*4.5*0.2</f>
        <v>14</v>
      </c>
      <c r="J56" s="26">
        <v>14</v>
      </c>
      <c r="K56" s="13" t="s">
        <v>361</v>
      </c>
      <c r="L56" s="13" t="s">
        <v>362</v>
      </c>
    </row>
    <row r="57" spans="1:12" s="73" customFormat="1" ht="57.6">
      <c r="A57" s="37">
        <v>50</v>
      </c>
      <c r="B57" s="10" t="s">
        <v>1</v>
      </c>
      <c r="C57" s="13" t="s">
        <v>363</v>
      </c>
      <c r="D57" s="13" t="s">
        <v>364</v>
      </c>
      <c r="E57" s="54" t="s">
        <v>359</v>
      </c>
      <c r="F57" s="55" t="s">
        <v>365</v>
      </c>
      <c r="G57" s="27">
        <v>18</v>
      </c>
      <c r="H57" s="27">
        <v>15</v>
      </c>
      <c r="I57" s="28">
        <f>10*4.5*0.2</f>
        <v>9</v>
      </c>
      <c r="J57" s="26">
        <v>9</v>
      </c>
      <c r="K57" s="13" t="s">
        <v>361</v>
      </c>
      <c r="L57" s="13" t="s">
        <v>366</v>
      </c>
    </row>
    <row r="58" spans="1:12" s="73" customFormat="1" ht="28.8">
      <c r="A58" s="9">
        <v>51</v>
      </c>
      <c r="B58" s="10" t="s">
        <v>1</v>
      </c>
      <c r="C58" s="13" t="s">
        <v>367</v>
      </c>
      <c r="D58" s="13" t="s">
        <v>368</v>
      </c>
      <c r="E58" s="54" t="s">
        <v>369</v>
      </c>
      <c r="F58" s="55" t="s">
        <v>370</v>
      </c>
      <c r="G58" s="27">
        <v>105</v>
      </c>
      <c r="H58" s="27">
        <v>87</v>
      </c>
      <c r="I58" s="28">
        <f>44*5.5*0.2</f>
        <v>48</v>
      </c>
      <c r="J58" s="26">
        <v>48</v>
      </c>
      <c r="K58" s="13" t="s">
        <v>371</v>
      </c>
      <c r="L58" s="13" t="s">
        <v>372</v>
      </c>
    </row>
    <row r="59" spans="1:12" s="73" customFormat="1" ht="28.8">
      <c r="A59" s="37">
        <v>52</v>
      </c>
      <c r="B59" s="10" t="s">
        <v>1</v>
      </c>
      <c r="C59" s="13" t="s">
        <v>373</v>
      </c>
      <c r="D59" s="13" t="s">
        <v>374</v>
      </c>
      <c r="E59" s="54" t="s">
        <v>315</v>
      </c>
      <c r="F59" s="55" t="s">
        <v>375</v>
      </c>
      <c r="G59" s="27">
        <v>84</v>
      </c>
      <c r="H59" s="27">
        <v>69</v>
      </c>
      <c r="I59" s="28">
        <f>35*5.5*0.2</f>
        <v>39</v>
      </c>
      <c r="J59" s="26">
        <v>39</v>
      </c>
      <c r="K59" s="13" t="s">
        <v>371</v>
      </c>
      <c r="L59" s="13" t="s">
        <v>376</v>
      </c>
    </row>
    <row r="60" spans="1:12" s="74" customFormat="1" ht="43.2">
      <c r="A60" s="9">
        <v>53</v>
      </c>
      <c r="B60" s="82" t="s">
        <v>1</v>
      </c>
      <c r="C60" s="19" t="s">
        <v>367</v>
      </c>
      <c r="D60" s="19" t="s">
        <v>377</v>
      </c>
      <c r="E60" s="56" t="s">
        <v>378</v>
      </c>
      <c r="F60" s="52" t="s">
        <v>370</v>
      </c>
      <c r="G60" s="20">
        <v>112</v>
      </c>
      <c r="H60" s="20">
        <v>93</v>
      </c>
      <c r="I60" s="30">
        <f>44*5.5*0.2</f>
        <v>48</v>
      </c>
      <c r="J60" s="81">
        <v>48</v>
      </c>
      <c r="K60" s="19" t="s">
        <v>371</v>
      </c>
      <c r="L60" s="19" t="s">
        <v>379</v>
      </c>
    </row>
    <row r="61" spans="1:12" s="74" customFormat="1" ht="43.2">
      <c r="A61" s="37">
        <v>54</v>
      </c>
      <c r="B61" s="82" t="s">
        <v>1</v>
      </c>
      <c r="C61" s="19" t="s">
        <v>380</v>
      </c>
      <c r="D61" s="19" t="s">
        <v>381</v>
      </c>
      <c r="E61" s="56" t="s">
        <v>382</v>
      </c>
      <c r="F61" s="52" t="s">
        <v>383</v>
      </c>
      <c r="G61" s="20">
        <v>132</v>
      </c>
      <c r="H61" s="20">
        <v>112</v>
      </c>
      <c r="I61" s="30">
        <f>60*5.5*0.2</f>
        <v>66</v>
      </c>
      <c r="J61" s="81">
        <v>66</v>
      </c>
      <c r="K61" s="19" t="s">
        <v>371</v>
      </c>
      <c r="L61" s="19" t="s">
        <v>384</v>
      </c>
    </row>
    <row r="62" spans="1:12" s="73" customFormat="1" ht="43.2">
      <c r="A62" s="9">
        <v>55</v>
      </c>
      <c r="B62" s="10" t="s">
        <v>1</v>
      </c>
      <c r="C62" s="13" t="s">
        <v>385</v>
      </c>
      <c r="D62" s="13" t="s">
        <v>386</v>
      </c>
      <c r="E62" s="54" t="s">
        <v>387</v>
      </c>
      <c r="F62" s="55" t="s">
        <v>388</v>
      </c>
      <c r="G62" s="27">
        <v>89</v>
      </c>
      <c r="H62" s="27">
        <v>73</v>
      </c>
      <c r="I62" s="28">
        <f>36*5.5*0.2</f>
        <v>40</v>
      </c>
      <c r="J62" s="26">
        <v>40</v>
      </c>
      <c r="K62" s="13" t="s">
        <v>371</v>
      </c>
      <c r="L62" s="13" t="s">
        <v>389</v>
      </c>
    </row>
    <row r="63" spans="1:12" s="73" customFormat="1" ht="28.8">
      <c r="A63" s="37">
        <v>56</v>
      </c>
      <c r="B63" s="10" t="s">
        <v>1</v>
      </c>
      <c r="C63" s="13" t="s">
        <v>390</v>
      </c>
      <c r="D63" s="13" t="s">
        <v>391</v>
      </c>
      <c r="E63" s="54" t="s">
        <v>359</v>
      </c>
      <c r="F63" s="55" t="s">
        <v>392</v>
      </c>
      <c r="G63" s="27">
        <v>397</v>
      </c>
      <c r="H63" s="27">
        <v>349</v>
      </c>
      <c r="I63" s="28">
        <f>85*12*0.2</f>
        <v>204</v>
      </c>
      <c r="J63" s="26">
        <v>204</v>
      </c>
      <c r="K63" s="13" t="s">
        <v>371</v>
      </c>
      <c r="L63" s="13" t="s">
        <v>393</v>
      </c>
    </row>
    <row r="64" spans="1:12" s="75" customFormat="1" ht="24.6" customHeight="1">
      <c r="A64" s="91" t="s">
        <v>408</v>
      </c>
      <c r="B64" s="92"/>
      <c r="C64" s="93"/>
      <c r="D64" s="36"/>
      <c r="E64" s="60"/>
      <c r="F64" s="60"/>
      <c r="G64" s="48">
        <f>SUM(G65:G81)</f>
        <v>1989</v>
      </c>
      <c r="H64" s="48">
        <f>SUM(H65:H81)</f>
        <v>1611</v>
      </c>
      <c r="I64" s="48">
        <f>SUM(I65:I81)</f>
        <v>1035</v>
      </c>
      <c r="J64" s="48">
        <f>SUM(J65:J81)</f>
        <v>1035</v>
      </c>
      <c r="K64" s="31"/>
      <c r="L64" s="33"/>
    </row>
    <row r="65" spans="1:12" s="72" customFormat="1" ht="28.8">
      <c r="A65" s="9">
        <v>57</v>
      </c>
      <c r="B65" s="9" t="s">
        <v>0</v>
      </c>
      <c r="C65" s="9" t="s">
        <v>6</v>
      </c>
      <c r="D65" s="9" t="s">
        <v>61</v>
      </c>
      <c r="E65" s="65" t="s">
        <v>62</v>
      </c>
      <c r="F65" s="65" t="s">
        <v>63</v>
      </c>
      <c r="G65" s="12">
        <v>137</v>
      </c>
      <c r="H65" s="12">
        <v>117</v>
      </c>
      <c r="I65" s="12">
        <v>82</v>
      </c>
      <c r="J65" s="9">
        <v>82</v>
      </c>
      <c r="K65" s="9" t="s">
        <v>5</v>
      </c>
      <c r="L65" s="9" t="s">
        <v>419</v>
      </c>
    </row>
    <row r="66" spans="1:12" s="14" customFormat="1" ht="28.8">
      <c r="A66" s="9">
        <v>58</v>
      </c>
      <c r="B66" s="22" t="s">
        <v>0</v>
      </c>
      <c r="C66" s="22" t="s">
        <v>103</v>
      </c>
      <c r="D66" s="22" t="s">
        <v>104</v>
      </c>
      <c r="E66" s="53" t="s">
        <v>86</v>
      </c>
      <c r="F66" s="53" t="s">
        <v>87</v>
      </c>
      <c r="G66" s="23">
        <v>118</v>
      </c>
      <c r="H66" s="23">
        <v>102</v>
      </c>
      <c r="I66" s="23">
        <f t="shared" ref="I66:I70" si="4">H66*0.7</f>
        <v>71</v>
      </c>
      <c r="J66" s="40">
        <v>71</v>
      </c>
      <c r="K66" s="22" t="s">
        <v>105</v>
      </c>
      <c r="L66" s="13" t="s">
        <v>453</v>
      </c>
    </row>
    <row r="67" spans="1:12" s="14" customFormat="1" ht="28.8">
      <c r="A67" s="9">
        <v>59</v>
      </c>
      <c r="B67" s="22" t="s">
        <v>0</v>
      </c>
      <c r="C67" s="22" t="s">
        <v>6</v>
      </c>
      <c r="D67" s="22" t="s">
        <v>106</v>
      </c>
      <c r="E67" s="53" t="s">
        <v>86</v>
      </c>
      <c r="F67" s="53" t="s">
        <v>101</v>
      </c>
      <c r="G67" s="23">
        <v>117</v>
      </c>
      <c r="H67" s="23">
        <v>107</v>
      </c>
      <c r="I67" s="23">
        <f t="shared" si="4"/>
        <v>75</v>
      </c>
      <c r="J67" s="24">
        <v>75</v>
      </c>
      <c r="K67" s="24" t="s">
        <v>107</v>
      </c>
      <c r="L67" s="13" t="s">
        <v>454</v>
      </c>
    </row>
    <row r="68" spans="1:12" s="14" customFormat="1" ht="43.2">
      <c r="A68" s="9">
        <v>60</v>
      </c>
      <c r="B68" s="22" t="s">
        <v>0</v>
      </c>
      <c r="C68" s="22" t="s">
        <v>110</v>
      </c>
      <c r="D68" s="22" t="s">
        <v>111</v>
      </c>
      <c r="E68" s="53" t="s">
        <v>112</v>
      </c>
      <c r="F68" s="55" t="s">
        <v>113</v>
      </c>
      <c r="G68" s="23">
        <v>137</v>
      </c>
      <c r="H68" s="23">
        <v>110</v>
      </c>
      <c r="I68" s="23">
        <f t="shared" si="4"/>
        <v>77</v>
      </c>
      <c r="J68" s="24">
        <v>77</v>
      </c>
      <c r="K68" s="24" t="s">
        <v>109</v>
      </c>
      <c r="L68" s="13" t="s">
        <v>455</v>
      </c>
    </row>
    <row r="69" spans="1:12" s="14" customFormat="1" ht="43.2">
      <c r="A69" s="9">
        <v>61</v>
      </c>
      <c r="B69" s="22" t="s">
        <v>0</v>
      </c>
      <c r="C69" s="22" t="s">
        <v>108</v>
      </c>
      <c r="D69" s="22" t="s">
        <v>132</v>
      </c>
      <c r="E69" s="53" t="s">
        <v>122</v>
      </c>
      <c r="F69" s="66" t="s">
        <v>123</v>
      </c>
      <c r="G69" s="23">
        <v>143</v>
      </c>
      <c r="H69" s="23">
        <v>100</v>
      </c>
      <c r="I69" s="23">
        <f t="shared" si="4"/>
        <v>70</v>
      </c>
      <c r="J69" s="24">
        <v>70</v>
      </c>
      <c r="K69" s="24" t="s">
        <v>109</v>
      </c>
      <c r="L69" s="13" t="s">
        <v>456</v>
      </c>
    </row>
    <row r="70" spans="1:12" s="14" customFormat="1" ht="28.8">
      <c r="A70" s="9">
        <v>62</v>
      </c>
      <c r="B70" s="25" t="s">
        <v>153</v>
      </c>
      <c r="C70" s="25" t="s">
        <v>84</v>
      </c>
      <c r="D70" s="25" t="s">
        <v>85</v>
      </c>
      <c r="E70" s="58" t="s">
        <v>86</v>
      </c>
      <c r="F70" s="58" t="s">
        <v>87</v>
      </c>
      <c r="G70" s="35">
        <v>169</v>
      </c>
      <c r="H70" s="35">
        <v>146</v>
      </c>
      <c r="I70" s="35">
        <f t="shared" si="4"/>
        <v>102</v>
      </c>
      <c r="J70" s="25">
        <v>102</v>
      </c>
      <c r="K70" s="24" t="s">
        <v>88</v>
      </c>
      <c r="L70" s="24" t="s">
        <v>420</v>
      </c>
    </row>
    <row r="71" spans="1:12" s="80" customFormat="1" ht="28.8">
      <c r="A71" s="9">
        <v>63</v>
      </c>
      <c r="B71" s="83" t="s">
        <v>153</v>
      </c>
      <c r="C71" s="43" t="s">
        <v>89</v>
      </c>
      <c r="D71" s="43" t="s">
        <v>90</v>
      </c>
      <c r="E71" s="84" t="s">
        <v>91</v>
      </c>
      <c r="F71" s="85" t="s">
        <v>92</v>
      </c>
      <c r="G71" s="86">
        <v>127</v>
      </c>
      <c r="H71" s="86">
        <v>117</v>
      </c>
      <c r="I71" s="87">
        <f>H71*70/100</f>
        <v>82</v>
      </c>
      <c r="J71" s="43">
        <v>82</v>
      </c>
      <c r="K71" s="43" t="s">
        <v>155</v>
      </c>
      <c r="L71" s="43" t="s">
        <v>421</v>
      </c>
    </row>
    <row r="72" spans="1:12" s="14" customFormat="1" ht="28.8">
      <c r="A72" s="9">
        <v>64</v>
      </c>
      <c r="B72" s="25" t="s">
        <v>153</v>
      </c>
      <c r="C72" s="25" t="s">
        <v>94</v>
      </c>
      <c r="D72" s="25" t="s">
        <v>95</v>
      </c>
      <c r="E72" s="58" t="s">
        <v>12</v>
      </c>
      <c r="F72" s="58" t="s">
        <v>64</v>
      </c>
      <c r="G72" s="35">
        <v>140</v>
      </c>
      <c r="H72" s="35">
        <v>119</v>
      </c>
      <c r="I72" s="35">
        <f>H72*70/100</f>
        <v>83</v>
      </c>
      <c r="J72" s="24">
        <v>83</v>
      </c>
      <c r="K72" s="24" t="s">
        <v>93</v>
      </c>
      <c r="L72" s="13" t="s">
        <v>457</v>
      </c>
    </row>
    <row r="73" spans="1:12" s="14" customFormat="1" ht="43.2">
      <c r="A73" s="9">
        <v>65</v>
      </c>
      <c r="B73" s="25" t="s">
        <v>153</v>
      </c>
      <c r="C73" s="25" t="s">
        <v>96</v>
      </c>
      <c r="D73" s="25" t="s">
        <v>97</v>
      </c>
      <c r="E73" s="58" t="s">
        <v>91</v>
      </c>
      <c r="F73" s="58" t="s">
        <v>98</v>
      </c>
      <c r="G73" s="35">
        <v>149</v>
      </c>
      <c r="H73" s="35">
        <v>122</v>
      </c>
      <c r="I73" s="35">
        <f>H73*70/100</f>
        <v>85</v>
      </c>
      <c r="J73" s="24">
        <v>85</v>
      </c>
      <c r="K73" s="22" t="s">
        <v>99</v>
      </c>
      <c r="L73" s="13" t="s">
        <v>458</v>
      </c>
    </row>
    <row r="74" spans="1:12" s="14" customFormat="1" ht="28.8">
      <c r="A74" s="9">
        <v>66</v>
      </c>
      <c r="B74" s="25" t="s">
        <v>153</v>
      </c>
      <c r="C74" s="22" t="s">
        <v>146</v>
      </c>
      <c r="D74" s="22" t="s">
        <v>100</v>
      </c>
      <c r="E74" s="53" t="s">
        <v>86</v>
      </c>
      <c r="F74" s="53" t="s">
        <v>101</v>
      </c>
      <c r="G74" s="23">
        <v>288</v>
      </c>
      <c r="H74" s="23">
        <v>191</v>
      </c>
      <c r="I74" s="23">
        <f>H74*0.7</f>
        <v>134</v>
      </c>
      <c r="J74" s="24">
        <v>134</v>
      </c>
      <c r="K74" s="22" t="s">
        <v>102</v>
      </c>
      <c r="L74" s="13" t="s">
        <v>459</v>
      </c>
    </row>
    <row r="75" spans="1:12" s="73" customFormat="1" ht="28.8">
      <c r="A75" s="9">
        <v>67</v>
      </c>
      <c r="B75" s="25" t="s">
        <v>153</v>
      </c>
      <c r="C75" s="13" t="s">
        <v>285</v>
      </c>
      <c r="D75" s="13" t="s">
        <v>286</v>
      </c>
      <c r="E75" s="54" t="s">
        <v>264</v>
      </c>
      <c r="F75" s="55" t="s">
        <v>287</v>
      </c>
      <c r="G75" s="27">
        <v>138</v>
      </c>
      <c r="H75" s="27">
        <v>114</v>
      </c>
      <c r="I75" s="28">
        <f>54.3*5*0.2</f>
        <v>54</v>
      </c>
      <c r="J75" s="26">
        <v>54</v>
      </c>
      <c r="K75" s="13" t="s">
        <v>288</v>
      </c>
      <c r="L75" s="13" t="s">
        <v>289</v>
      </c>
    </row>
    <row r="76" spans="1:12" s="73" customFormat="1" ht="28.8">
      <c r="A76" s="9">
        <v>68</v>
      </c>
      <c r="B76" s="25" t="s">
        <v>153</v>
      </c>
      <c r="C76" s="13" t="s">
        <v>228</v>
      </c>
      <c r="D76" s="13" t="s">
        <v>290</v>
      </c>
      <c r="E76" s="54" t="s">
        <v>264</v>
      </c>
      <c r="F76" s="55" t="s">
        <v>291</v>
      </c>
      <c r="G76" s="27">
        <v>109</v>
      </c>
      <c r="H76" s="27">
        <v>90</v>
      </c>
      <c r="I76" s="28">
        <f>42.2*5*0.2</f>
        <v>42</v>
      </c>
      <c r="J76" s="26">
        <v>42</v>
      </c>
      <c r="K76" s="13" t="s">
        <v>288</v>
      </c>
      <c r="L76" s="13" t="s">
        <v>289</v>
      </c>
    </row>
    <row r="77" spans="1:12" s="73" customFormat="1" ht="28.8">
      <c r="A77" s="9">
        <v>69</v>
      </c>
      <c r="B77" s="25" t="s">
        <v>153</v>
      </c>
      <c r="C77" s="13" t="s">
        <v>292</v>
      </c>
      <c r="D77" s="13" t="s">
        <v>293</v>
      </c>
      <c r="E77" s="54" t="s">
        <v>264</v>
      </c>
      <c r="F77" s="55" t="s">
        <v>294</v>
      </c>
      <c r="G77" s="27">
        <v>60</v>
      </c>
      <c r="H77" s="27">
        <v>49</v>
      </c>
      <c r="I77" s="28">
        <f>25.3*4*0.2</f>
        <v>20</v>
      </c>
      <c r="J77" s="26">
        <v>20</v>
      </c>
      <c r="K77" s="13" t="s">
        <v>288</v>
      </c>
      <c r="L77" s="13" t="s">
        <v>295</v>
      </c>
    </row>
    <row r="78" spans="1:12" s="73" customFormat="1" ht="28.8">
      <c r="A78" s="9">
        <v>70</v>
      </c>
      <c r="B78" s="25" t="s">
        <v>153</v>
      </c>
      <c r="C78" s="13" t="s">
        <v>296</v>
      </c>
      <c r="D78" s="13" t="s">
        <v>297</v>
      </c>
      <c r="E78" s="54" t="s">
        <v>264</v>
      </c>
      <c r="F78" s="55" t="s">
        <v>298</v>
      </c>
      <c r="G78" s="27">
        <v>34</v>
      </c>
      <c r="H78" s="27">
        <v>27</v>
      </c>
      <c r="I78" s="28">
        <f>15.08*4*0.2</f>
        <v>12</v>
      </c>
      <c r="J78" s="26">
        <v>12</v>
      </c>
      <c r="K78" s="13" t="s">
        <v>288</v>
      </c>
      <c r="L78" s="13" t="s">
        <v>295</v>
      </c>
    </row>
    <row r="79" spans="1:12" s="73" customFormat="1" ht="28.8">
      <c r="A79" s="9">
        <v>71</v>
      </c>
      <c r="B79" s="25" t="s">
        <v>153</v>
      </c>
      <c r="C79" s="13" t="s">
        <v>299</v>
      </c>
      <c r="D79" s="13" t="s">
        <v>300</v>
      </c>
      <c r="E79" s="54" t="s">
        <v>264</v>
      </c>
      <c r="F79" s="55" t="s">
        <v>301</v>
      </c>
      <c r="G79" s="27">
        <v>47</v>
      </c>
      <c r="H79" s="27">
        <v>38</v>
      </c>
      <c r="I79" s="28">
        <f>22.12*4*0.2</f>
        <v>18</v>
      </c>
      <c r="J79" s="26">
        <v>18</v>
      </c>
      <c r="K79" s="13" t="s">
        <v>288</v>
      </c>
      <c r="L79" s="13" t="s">
        <v>295</v>
      </c>
    </row>
    <row r="80" spans="1:12" s="73" customFormat="1" ht="28.8">
      <c r="A80" s="9">
        <v>72</v>
      </c>
      <c r="B80" s="25" t="s">
        <v>153</v>
      </c>
      <c r="C80" s="13" t="s">
        <v>302</v>
      </c>
      <c r="D80" s="13" t="s">
        <v>303</v>
      </c>
      <c r="E80" s="54" t="s">
        <v>264</v>
      </c>
      <c r="F80" s="55" t="s">
        <v>304</v>
      </c>
      <c r="G80" s="27">
        <v>49</v>
      </c>
      <c r="H80" s="27">
        <v>40</v>
      </c>
      <c r="I80" s="28">
        <f>23.1*4*0.2</f>
        <v>18</v>
      </c>
      <c r="J80" s="26">
        <v>18</v>
      </c>
      <c r="K80" s="13" t="s">
        <v>288</v>
      </c>
      <c r="L80" s="13" t="s">
        <v>295</v>
      </c>
    </row>
    <row r="81" spans="1:12" s="73" customFormat="1" ht="28.8">
      <c r="A81" s="9">
        <v>73</v>
      </c>
      <c r="B81" s="25" t="s">
        <v>153</v>
      </c>
      <c r="C81" s="13" t="s">
        <v>305</v>
      </c>
      <c r="D81" s="13" t="s">
        <v>306</v>
      </c>
      <c r="E81" s="54" t="s">
        <v>264</v>
      </c>
      <c r="F81" s="55" t="s">
        <v>307</v>
      </c>
      <c r="G81" s="27">
        <v>27</v>
      </c>
      <c r="H81" s="27">
        <v>22</v>
      </c>
      <c r="I81" s="28">
        <f>12.3*4*0.2</f>
        <v>10</v>
      </c>
      <c r="J81" s="26">
        <v>10</v>
      </c>
      <c r="K81" s="13" t="s">
        <v>288</v>
      </c>
      <c r="L81" s="13" t="s">
        <v>295</v>
      </c>
    </row>
    <row r="82" spans="1:12" s="75" customFormat="1" ht="24.6" customHeight="1">
      <c r="A82" s="91" t="s">
        <v>409</v>
      </c>
      <c r="B82" s="92"/>
      <c r="C82" s="93"/>
      <c r="D82" s="31"/>
      <c r="E82" s="57"/>
      <c r="F82" s="57"/>
      <c r="G82" s="32">
        <f>SUM(G83:G85)</f>
        <v>409</v>
      </c>
      <c r="H82" s="32">
        <f t="shared" ref="H82:J82" si="5">SUM(H83:H85)</f>
        <v>320</v>
      </c>
      <c r="I82" s="32">
        <f t="shared" si="5"/>
        <v>225</v>
      </c>
      <c r="J82" s="32">
        <f t="shared" si="5"/>
        <v>225</v>
      </c>
      <c r="K82" s="31"/>
      <c r="L82" s="33"/>
    </row>
    <row r="83" spans="1:12" s="14" customFormat="1" ht="28.8">
      <c r="A83" s="34">
        <v>74</v>
      </c>
      <c r="B83" s="25" t="s">
        <v>4</v>
      </c>
      <c r="C83" s="25" t="s">
        <v>144</v>
      </c>
      <c r="D83" s="25" t="s">
        <v>145</v>
      </c>
      <c r="E83" s="58" t="s">
        <v>12</v>
      </c>
      <c r="F83" s="58" t="s">
        <v>64</v>
      </c>
      <c r="G83" s="35">
        <v>127</v>
      </c>
      <c r="H83" s="35">
        <v>105</v>
      </c>
      <c r="I83" s="35">
        <v>74</v>
      </c>
      <c r="J83" s="25">
        <v>74</v>
      </c>
      <c r="K83" s="24" t="s">
        <v>72</v>
      </c>
      <c r="L83" s="9" t="s">
        <v>422</v>
      </c>
    </row>
    <row r="84" spans="1:12" s="14" customFormat="1" ht="43.2">
      <c r="A84" s="34">
        <v>75</v>
      </c>
      <c r="B84" s="22" t="s">
        <v>4</v>
      </c>
      <c r="C84" s="22" t="s">
        <v>120</v>
      </c>
      <c r="D84" s="22" t="s">
        <v>121</v>
      </c>
      <c r="E84" s="53" t="s">
        <v>122</v>
      </c>
      <c r="F84" s="66" t="s">
        <v>123</v>
      </c>
      <c r="G84" s="23">
        <v>144</v>
      </c>
      <c r="H84" s="23">
        <v>115</v>
      </c>
      <c r="I84" s="23">
        <f>H84*0.7</f>
        <v>81</v>
      </c>
      <c r="J84" s="24">
        <v>81</v>
      </c>
      <c r="K84" s="24" t="s">
        <v>124</v>
      </c>
      <c r="L84" s="13" t="s">
        <v>460</v>
      </c>
    </row>
    <row r="85" spans="1:12" s="14" customFormat="1" ht="43.2">
      <c r="A85" s="34">
        <v>76</v>
      </c>
      <c r="B85" s="22" t="s">
        <v>4</v>
      </c>
      <c r="C85" s="22" t="s">
        <v>120</v>
      </c>
      <c r="D85" s="22" t="s">
        <v>147</v>
      </c>
      <c r="E85" s="53" t="s">
        <v>122</v>
      </c>
      <c r="F85" s="67" t="s">
        <v>123</v>
      </c>
      <c r="G85" s="23">
        <v>138</v>
      </c>
      <c r="H85" s="23">
        <v>100</v>
      </c>
      <c r="I85" s="23">
        <v>70</v>
      </c>
      <c r="J85" s="24">
        <v>70</v>
      </c>
      <c r="K85" s="24" t="s">
        <v>124</v>
      </c>
      <c r="L85" s="13" t="s">
        <v>460</v>
      </c>
    </row>
    <row r="86" spans="1:12" s="75" customFormat="1" ht="24.6" customHeight="1">
      <c r="A86" s="94" t="s">
        <v>410</v>
      </c>
      <c r="B86" s="95"/>
      <c r="C86" s="96"/>
      <c r="D86" s="31"/>
      <c r="E86" s="57"/>
      <c r="F86" s="68"/>
      <c r="G86" s="32">
        <f>SUM(G87:G90)</f>
        <v>832</v>
      </c>
      <c r="H86" s="32">
        <f t="shared" ref="H86:J86" si="6">SUM(H87:H90)</f>
        <v>586</v>
      </c>
      <c r="I86" s="32">
        <f t="shared" si="6"/>
        <v>385</v>
      </c>
      <c r="J86" s="32">
        <f t="shared" si="6"/>
        <v>385</v>
      </c>
      <c r="K86" s="33"/>
      <c r="L86" s="33"/>
    </row>
    <row r="87" spans="1:12" s="14" customFormat="1" ht="43.2">
      <c r="A87" s="34">
        <v>77</v>
      </c>
      <c r="B87" s="25" t="s">
        <v>66</v>
      </c>
      <c r="C87" s="25" t="s">
        <v>67</v>
      </c>
      <c r="D87" s="25" t="s">
        <v>68</v>
      </c>
      <c r="E87" s="58" t="s">
        <v>69</v>
      </c>
      <c r="F87" s="58" t="s">
        <v>70</v>
      </c>
      <c r="G87" s="35">
        <v>502</v>
      </c>
      <c r="H87" s="35">
        <v>353</v>
      </c>
      <c r="I87" s="35">
        <f>H87*0.7</f>
        <v>247</v>
      </c>
      <c r="J87" s="25">
        <v>247</v>
      </c>
      <c r="K87" s="25" t="s">
        <v>71</v>
      </c>
      <c r="L87" s="24" t="s">
        <v>423</v>
      </c>
    </row>
    <row r="88" spans="1:12" s="14" customFormat="1" ht="28.8">
      <c r="A88" s="34">
        <v>78</v>
      </c>
      <c r="B88" s="22" t="s">
        <v>154</v>
      </c>
      <c r="C88" s="22" t="s">
        <v>114</v>
      </c>
      <c r="D88" s="22" t="s">
        <v>115</v>
      </c>
      <c r="E88" s="53" t="s">
        <v>112</v>
      </c>
      <c r="F88" s="53" t="s">
        <v>116</v>
      </c>
      <c r="G88" s="23">
        <v>178</v>
      </c>
      <c r="H88" s="23">
        <v>115</v>
      </c>
      <c r="I88" s="23">
        <f>H88*0.7</f>
        <v>81</v>
      </c>
      <c r="J88" s="24">
        <v>81</v>
      </c>
      <c r="K88" s="24" t="s">
        <v>117</v>
      </c>
      <c r="L88" s="13" t="s">
        <v>461</v>
      </c>
    </row>
    <row r="89" spans="1:12" s="73" customFormat="1" ht="28.8">
      <c r="A89" s="26">
        <v>79</v>
      </c>
      <c r="B89" s="22" t="s">
        <v>154</v>
      </c>
      <c r="C89" s="13" t="s">
        <v>337</v>
      </c>
      <c r="D89" s="13" t="s">
        <v>338</v>
      </c>
      <c r="E89" s="54" t="s">
        <v>339</v>
      </c>
      <c r="F89" s="55" t="s">
        <v>340</v>
      </c>
      <c r="G89" s="27">
        <v>114</v>
      </c>
      <c r="H89" s="27">
        <v>86</v>
      </c>
      <c r="I89" s="28">
        <f>39*4.5*0.2</f>
        <v>35</v>
      </c>
      <c r="J89" s="26">
        <v>35</v>
      </c>
      <c r="K89" s="13" t="s">
        <v>436</v>
      </c>
      <c r="L89" s="13" t="s">
        <v>424</v>
      </c>
    </row>
    <row r="90" spans="1:12" s="73" customFormat="1" ht="43.2">
      <c r="A90" s="26">
        <v>80</v>
      </c>
      <c r="B90" s="22" t="s">
        <v>400</v>
      </c>
      <c r="C90" s="13" t="s">
        <v>341</v>
      </c>
      <c r="D90" s="13" t="s">
        <v>342</v>
      </c>
      <c r="E90" s="54" t="s">
        <v>343</v>
      </c>
      <c r="F90" s="55" t="s">
        <v>344</v>
      </c>
      <c r="G90" s="27">
        <v>38</v>
      </c>
      <c r="H90" s="27">
        <v>32</v>
      </c>
      <c r="I90" s="28">
        <f>24*4.5*0.2</f>
        <v>22</v>
      </c>
      <c r="J90" s="26">
        <v>22</v>
      </c>
      <c r="K90" s="13" t="s">
        <v>345</v>
      </c>
      <c r="L90" s="13" t="s">
        <v>346</v>
      </c>
    </row>
    <row r="91" spans="1:12" s="75" customFormat="1" ht="24.6" customHeight="1">
      <c r="A91" s="94" t="s">
        <v>411</v>
      </c>
      <c r="B91" s="95"/>
      <c r="C91" s="96"/>
      <c r="D91" s="31"/>
      <c r="E91" s="57"/>
      <c r="F91" s="57"/>
      <c r="G91" s="32">
        <f>SUM(G92)</f>
        <v>131</v>
      </c>
      <c r="H91" s="32">
        <f t="shared" ref="H91:J91" si="7">SUM(H92)</f>
        <v>111</v>
      </c>
      <c r="I91" s="32">
        <f t="shared" si="7"/>
        <v>78</v>
      </c>
      <c r="J91" s="32">
        <f t="shared" si="7"/>
        <v>78</v>
      </c>
      <c r="K91" s="33"/>
      <c r="L91" s="33"/>
    </row>
    <row r="92" spans="1:12" s="14" customFormat="1" ht="28.8">
      <c r="A92" s="44">
        <v>81</v>
      </c>
      <c r="B92" s="25" t="s">
        <v>78</v>
      </c>
      <c r="C92" s="25" t="s">
        <v>79</v>
      </c>
      <c r="D92" s="25" t="s">
        <v>80</v>
      </c>
      <c r="E92" s="58" t="s">
        <v>81</v>
      </c>
      <c r="F92" s="58" t="s">
        <v>82</v>
      </c>
      <c r="G92" s="35">
        <v>131</v>
      </c>
      <c r="H92" s="35">
        <v>111</v>
      </c>
      <c r="I92" s="35">
        <f>H92*70/100</f>
        <v>78</v>
      </c>
      <c r="J92" s="24">
        <v>78</v>
      </c>
      <c r="K92" s="24" t="s">
        <v>83</v>
      </c>
      <c r="L92" s="24" t="s">
        <v>425</v>
      </c>
    </row>
    <row r="93" spans="1:12" s="73" customFormat="1" ht="24.6" customHeight="1">
      <c r="A93" s="88" t="s">
        <v>406</v>
      </c>
      <c r="B93" s="89"/>
      <c r="C93" s="90"/>
      <c r="D93" s="36"/>
      <c r="E93" s="69"/>
      <c r="F93" s="60"/>
      <c r="G93" s="48">
        <f>SUM(G94:G98)</f>
        <v>505</v>
      </c>
      <c r="H93" s="48">
        <f t="shared" ref="H93:J93" si="8">SUM(H94:H98)</f>
        <v>420</v>
      </c>
      <c r="I93" s="48">
        <f t="shared" si="8"/>
        <v>212</v>
      </c>
      <c r="J93" s="48">
        <f t="shared" si="8"/>
        <v>212</v>
      </c>
      <c r="K93" s="36"/>
      <c r="L93" s="36"/>
    </row>
    <row r="94" spans="1:12" s="73" customFormat="1" ht="43.2">
      <c r="A94" s="26">
        <v>82</v>
      </c>
      <c r="B94" s="26" t="s">
        <v>403</v>
      </c>
      <c r="C94" s="13" t="s">
        <v>262</v>
      </c>
      <c r="D94" s="13" t="s">
        <v>263</v>
      </c>
      <c r="E94" s="54" t="s">
        <v>264</v>
      </c>
      <c r="F94" s="55" t="s">
        <v>265</v>
      </c>
      <c r="G94" s="27">
        <v>176</v>
      </c>
      <c r="H94" s="27">
        <v>147</v>
      </c>
      <c r="I94" s="28">
        <f>97.45*4.5*0.2</f>
        <v>88</v>
      </c>
      <c r="J94" s="26">
        <v>88</v>
      </c>
      <c r="K94" s="13" t="s">
        <v>266</v>
      </c>
      <c r="L94" s="13" t="s">
        <v>267</v>
      </c>
    </row>
    <row r="95" spans="1:12" s="74" customFormat="1" ht="43.2">
      <c r="A95" s="81">
        <v>83</v>
      </c>
      <c r="B95" s="81" t="s">
        <v>403</v>
      </c>
      <c r="C95" s="19" t="s">
        <v>268</v>
      </c>
      <c r="D95" s="19" t="s">
        <v>269</v>
      </c>
      <c r="E95" s="56" t="s">
        <v>270</v>
      </c>
      <c r="F95" s="52" t="s">
        <v>271</v>
      </c>
      <c r="G95" s="20">
        <v>106</v>
      </c>
      <c r="H95" s="20">
        <v>89</v>
      </c>
      <c r="I95" s="30">
        <f>46*3.5*0.2</f>
        <v>32</v>
      </c>
      <c r="J95" s="81">
        <v>32</v>
      </c>
      <c r="K95" s="19" t="s">
        <v>266</v>
      </c>
      <c r="L95" s="19" t="s">
        <v>272</v>
      </c>
    </row>
    <row r="96" spans="1:12" s="74" customFormat="1" ht="28.8">
      <c r="A96" s="26">
        <v>84</v>
      </c>
      <c r="B96" s="81" t="s">
        <v>403</v>
      </c>
      <c r="C96" s="19" t="s">
        <v>273</v>
      </c>
      <c r="D96" s="19" t="s">
        <v>274</v>
      </c>
      <c r="E96" s="56" t="s">
        <v>264</v>
      </c>
      <c r="F96" s="52" t="s">
        <v>275</v>
      </c>
      <c r="G96" s="20">
        <v>58</v>
      </c>
      <c r="H96" s="20">
        <v>48</v>
      </c>
      <c r="I96" s="30">
        <f>34.04*3.5*0.2</f>
        <v>24</v>
      </c>
      <c r="J96" s="81">
        <v>24</v>
      </c>
      <c r="K96" s="19" t="s">
        <v>276</v>
      </c>
      <c r="L96" s="19" t="s">
        <v>277</v>
      </c>
    </row>
    <row r="97" spans="1:12" s="73" customFormat="1" ht="28.8">
      <c r="A97" s="81">
        <v>85</v>
      </c>
      <c r="B97" s="26" t="s">
        <v>403</v>
      </c>
      <c r="C97" s="13" t="s">
        <v>278</v>
      </c>
      <c r="D97" s="13" t="s">
        <v>279</v>
      </c>
      <c r="E97" s="54" t="s">
        <v>264</v>
      </c>
      <c r="F97" s="55" t="s">
        <v>280</v>
      </c>
      <c r="G97" s="27">
        <v>78</v>
      </c>
      <c r="H97" s="27">
        <v>64</v>
      </c>
      <c r="I97" s="28">
        <f>47.04*3.5*0.2</f>
        <v>33</v>
      </c>
      <c r="J97" s="26">
        <v>33</v>
      </c>
      <c r="K97" s="13" t="s">
        <v>276</v>
      </c>
      <c r="L97" s="13" t="s">
        <v>277</v>
      </c>
    </row>
    <row r="98" spans="1:12" s="73" customFormat="1" ht="28.8">
      <c r="A98" s="26">
        <v>86</v>
      </c>
      <c r="B98" s="26" t="s">
        <v>403</v>
      </c>
      <c r="C98" s="13" t="s">
        <v>281</v>
      </c>
      <c r="D98" s="13" t="s">
        <v>282</v>
      </c>
      <c r="E98" s="54" t="s">
        <v>283</v>
      </c>
      <c r="F98" s="55" t="s">
        <v>284</v>
      </c>
      <c r="G98" s="27">
        <v>87</v>
      </c>
      <c r="H98" s="27">
        <v>72</v>
      </c>
      <c r="I98" s="28">
        <f>22*8*0.2</f>
        <v>35</v>
      </c>
      <c r="J98" s="26">
        <v>35</v>
      </c>
      <c r="K98" s="13" t="s">
        <v>276</v>
      </c>
      <c r="L98" s="13" t="s">
        <v>277</v>
      </c>
    </row>
    <row r="99" spans="1:12" s="73" customFormat="1" ht="24.6" customHeight="1">
      <c r="A99" s="88" t="s">
        <v>412</v>
      </c>
      <c r="B99" s="89"/>
      <c r="C99" s="90"/>
      <c r="D99" s="36"/>
      <c r="E99" s="69"/>
      <c r="F99" s="60"/>
      <c r="G99" s="48">
        <f>SUM(G100:G105)</f>
        <v>1087</v>
      </c>
      <c r="H99" s="48">
        <f>SUM(H100:H105)</f>
        <v>924</v>
      </c>
      <c r="I99" s="48">
        <f>SUM(I100:I105)</f>
        <v>408</v>
      </c>
      <c r="J99" s="48">
        <f>SUM(J100:J105)</f>
        <v>408</v>
      </c>
      <c r="K99" s="36"/>
      <c r="L99" s="36"/>
    </row>
    <row r="100" spans="1:12" s="73" customFormat="1" ht="28.8">
      <c r="A100" s="26">
        <v>87</v>
      </c>
      <c r="B100" s="26" t="s">
        <v>402</v>
      </c>
      <c r="C100" s="13" t="s">
        <v>308</v>
      </c>
      <c r="D100" s="13" t="s">
        <v>309</v>
      </c>
      <c r="E100" s="54" t="s">
        <v>264</v>
      </c>
      <c r="F100" s="55" t="s">
        <v>310</v>
      </c>
      <c r="G100" s="27">
        <v>276</v>
      </c>
      <c r="H100" s="27">
        <v>249</v>
      </c>
      <c r="I100" s="28">
        <v>110</v>
      </c>
      <c r="J100" s="26">
        <v>110</v>
      </c>
      <c r="K100" s="13" t="s">
        <v>311</v>
      </c>
      <c r="L100" s="13" t="s">
        <v>312</v>
      </c>
    </row>
    <row r="101" spans="1:12" s="74" customFormat="1" ht="28.8">
      <c r="A101" s="81">
        <v>88</v>
      </c>
      <c r="B101" s="81" t="s">
        <v>402</v>
      </c>
      <c r="C101" s="19" t="s">
        <v>313</v>
      </c>
      <c r="D101" s="19" t="s">
        <v>314</v>
      </c>
      <c r="E101" s="56" t="s">
        <v>315</v>
      </c>
      <c r="F101" s="52" t="s">
        <v>316</v>
      </c>
      <c r="G101" s="20">
        <v>311</v>
      </c>
      <c r="H101" s="20">
        <v>255</v>
      </c>
      <c r="I101" s="30">
        <f>85.54*6.4*0.2</f>
        <v>109</v>
      </c>
      <c r="J101" s="81">
        <v>109</v>
      </c>
      <c r="K101" s="19" t="s">
        <v>317</v>
      </c>
      <c r="L101" s="19" t="s">
        <v>426</v>
      </c>
    </row>
    <row r="102" spans="1:12" s="73" customFormat="1" ht="28.8">
      <c r="A102" s="26">
        <v>89</v>
      </c>
      <c r="B102" s="26" t="s">
        <v>402</v>
      </c>
      <c r="C102" s="13" t="s">
        <v>318</v>
      </c>
      <c r="D102" s="13" t="s">
        <v>319</v>
      </c>
      <c r="E102" s="54" t="s">
        <v>320</v>
      </c>
      <c r="F102" s="55" t="s">
        <v>316</v>
      </c>
      <c r="G102" s="27">
        <v>299</v>
      </c>
      <c r="H102" s="27">
        <v>245</v>
      </c>
      <c r="I102" s="28">
        <f>85.54*6.4*0.2</f>
        <v>109</v>
      </c>
      <c r="J102" s="26">
        <v>109</v>
      </c>
      <c r="K102" s="13" t="s">
        <v>317</v>
      </c>
      <c r="L102" s="13" t="s">
        <v>427</v>
      </c>
    </row>
    <row r="103" spans="1:12" s="74" customFormat="1" ht="43.2">
      <c r="A103" s="81">
        <v>90</v>
      </c>
      <c r="B103" s="81" t="s">
        <v>402</v>
      </c>
      <c r="C103" s="19" t="s">
        <v>321</v>
      </c>
      <c r="D103" s="19" t="s">
        <v>322</v>
      </c>
      <c r="E103" s="56" t="s">
        <v>323</v>
      </c>
      <c r="F103" s="52" t="s">
        <v>324</v>
      </c>
      <c r="G103" s="20">
        <v>36</v>
      </c>
      <c r="H103" s="20">
        <v>33</v>
      </c>
      <c r="I103" s="30">
        <f>20*4.8*0.2</f>
        <v>19</v>
      </c>
      <c r="J103" s="81">
        <v>19</v>
      </c>
      <c r="K103" s="19" t="s">
        <v>325</v>
      </c>
      <c r="L103" s="19" t="s">
        <v>326</v>
      </c>
    </row>
    <row r="104" spans="1:12" s="74" customFormat="1" ht="28.8">
      <c r="A104" s="26">
        <v>91</v>
      </c>
      <c r="B104" s="81" t="s">
        <v>402</v>
      </c>
      <c r="C104" s="19" t="s">
        <v>327</v>
      </c>
      <c r="D104" s="19" t="s">
        <v>328</v>
      </c>
      <c r="E104" s="56" t="s">
        <v>329</v>
      </c>
      <c r="F104" s="52" t="s">
        <v>330</v>
      </c>
      <c r="G104" s="20">
        <v>85</v>
      </c>
      <c r="H104" s="20">
        <v>78</v>
      </c>
      <c r="I104" s="30">
        <f>44*4.5*0.2</f>
        <v>40</v>
      </c>
      <c r="J104" s="81">
        <v>40</v>
      </c>
      <c r="K104" s="19" t="s">
        <v>331</v>
      </c>
      <c r="L104" s="19" t="s">
        <v>462</v>
      </c>
    </row>
    <row r="105" spans="1:12" s="73" customFormat="1" ht="72">
      <c r="A105" s="81">
        <v>92</v>
      </c>
      <c r="B105" s="26" t="s">
        <v>402</v>
      </c>
      <c r="C105" s="13" t="s">
        <v>332</v>
      </c>
      <c r="D105" s="13" t="s">
        <v>333</v>
      </c>
      <c r="E105" s="54" t="s">
        <v>334</v>
      </c>
      <c r="F105" s="55" t="s">
        <v>335</v>
      </c>
      <c r="G105" s="27">
        <v>80</v>
      </c>
      <c r="H105" s="27">
        <v>64</v>
      </c>
      <c r="I105" s="28">
        <f>21.54*4.8*0.2</f>
        <v>21</v>
      </c>
      <c r="J105" s="26">
        <v>21</v>
      </c>
      <c r="K105" s="13" t="s">
        <v>325</v>
      </c>
      <c r="L105" s="13" t="s">
        <v>336</v>
      </c>
    </row>
    <row r="106" spans="1:12" s="73" customFormat="1" ht="24.6" customHeight="1">
      <c r="A106" s="88" t="s">
        <v>413</v>
      </c>
      <c r="B106" s="89"/>
      <c r="C106" s="90"/>
      <c r="D106" s="36"/>
      <c r="E106" s="69"/>
      <c r="F106" s="60"/>
      <c r="G106" s="48">
        <f>SUM(G107)</f>
        <v>99</v>
      </c>
      <c r="H106" s="48">
        <f t="shared" ref="H106:J106" si="9">SUM(H107)</f>
        <v>85</v>
      </c>
      <c r="I106" s="48">
        <f t="shared" si="9"/>
        <v>57</v>
      </c>
      <c r="J106" s="48">
        <f t="shared" si="9"/>
        <v>57</v>
      </c>
      <c r="K106" s="36"/>
      <c r="L106" s="36"/>
    </row>
    <row r="107" spans="1:12" s="74" customFormat="1" ht="72">
      <c r="A107" s="81">
        <v>93</v>
      </c>
      <c r="B107" s="81" t="s">
        <v>401</v>
      </c>
      <c r="C107" s="19" t="s">
        <v>394</v>
      </c>
      <c r="D107" s="19" t="s">
        <v>395</v>
      </c>
      <c r="E107" s="56" t="s">
        <v>396</v>
      </c>
      <c r="F107" s="52" t="s">
        <v>397</v>
      </c>
      <c r="G107" s="20">
        <v>99</v>
      </c>
      <c r="H107" s="20">
        <v>85</v>
      </c>
      <c r="I107" s="30">
        <f>40.92*7*0.2</f>
        <v>57</v>
      </c>
      <c r="J107" s="81">
        <v>57</v>
      </c>
      <c r="K107" s="19" t="s">
        <v>398</v>
      </c>
      <c r="L107" s="19" t="s">
        <v>463</v>
      </c>
    </row>
  </sheetData>
  <autoFilter ref="A4:M107">
    <filterColumn colId="0" showButton="0"/>
    <filterColumn colId="1" showButton="0"/>
  </autoFilter>
  <mergeCells count="13">
    <mergeCell ref="A1:L1"/>
    <mergeCell ref="A3:C3"/>
    <mergeCell ref="A4:C4"/>
    <mergeCell ref="A27:C27"/>
    <mergeCell ref="A43:C43"/>
    <mergeCell ref="A93:C93"/>
    <mergeCell ref="A99:C99"/>
    <mergeCell ref="A106:C106"/>
    <mergeCell ref="A46:C46"/>
    <mergeCell ref="A64:C64"/>
    <mergeCell ref="A82:C82"/>
    <mergeCell ref="A86:C86"/>
    <mergeCell ref="A91:C9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2009-07-27T02:01:31Z</cp:lastPrinted>
  <dcterms:created xsi:type="dcterms:W3CDTF">1996-12-17T01:32:42Z</dcterms:created>
  <dcterms:modified xsi:type="dcterms:W3CDTF">2016-09-07T08:04:59Z</dcterms:modified>
</cp:coreProperties>
</file>